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activeX/activeX2.xml" ContentType="application/vnd.ms-office.activeX+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activeX/activeX1.xml" ContentType="application/vnd.ms-office.activeX+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showObjects="placeholders" defaultThemeVersion="124226"/>
  <bookViews>
    <workbookView xWindow="-12" yWindow="-12" windowWidth="23088" windowHeight="9300" tabRatio="921" firstSheet="2" activeTab="20"/>
  </bookViews>
  <sheets>
    <sheet name="luna" sheetId="1" state="hidden" r:id="rId1"/>
    <sheet name="pascua" sheetId="2" state="hidden" r:id="rId2"/>
    <sheet name="PORTADA" sheetId="3" r:id="rId3"/>
    <sheet name="año" sheetId="4" r:id="rId4"/>
    <sheet name="calendario" sheetId="5" r:id="rId5"/>
    <sheet name="DICIEMBRE" sheetId="6" r:id="rId6"/>
    <sheet name="NOVIEMBRE" sheetId="7" r:id="rId7"/>
    <sheet name="OCTUBRE" sheetId="8" r:id="rId8"/>
    <sheet name="SEPTIEMBRE" sheetId="9" r:id="rId9"/>
    <sheet name="AGOSTO" sheetId="10" r:id="rId10"/>
    <sheet name="JULIO" sheetId="11" r:id="rId11"/>
    <sheet name="JUNIO" sheetId="13" r:id="rId12"/>
    <sheet name="MAYO" sheetId="12" r:id="rId13"/>
    <sheet name="ABRIL" sheetId="14" r:id="rId14"/>
    <sheet name="MARZO" sheetId="15" r:id="rId15"/>
    <sheet name="FEBRERO" sheetId="16" r:id="rId16"/>
    <sheet name="ENERO" sheetId="17" r:id="rId17"/>
    <sheet name="2024-1" sheetId="18" r:id="rId18"/>
    <sheet name="2024-2" sheetId="19" r:id="rId19"/>
    <sheet name="2024-3" sheetId="20" r:id="rId20"/>
    <sheet name="2024-4" sheetId="21" r:id="rId21"/>
  </sheets>
  <definedNames>
    <definedName name="año_elegido">PORTADA!$AG$28</definedName>
    <definedName name="_xlnm.Print_Area" localSheetId="13">ABRIL!$B$1:$AP$37</definedName>
    <definedName name="_xlnm.Print_Area" localSheetId="3">año!$B$1:$AH$35</definedName>
    <definedName name="_xlnm.Print_Area" localSheetId="4">calendario!$B$4:$Z$59</definedName>
    <definedName name="_xlnm.Print_Area" localSheetId="15">FEBRERO!$B$1:$AP$37</definedName>
    <definedName name="_xlnm.Print_Area" localSheetId="14">MARZO!$B$1:$AP$37</definedName>
    <definedName name="_xlnm.Print_Area" localSheetId="12">MAYO!$B$1:$AP$37</definedName>
    <definedName name="_xlnm.Print_Area" localSheetId="8">SEPTIEMBRE!$B$1:$AQ$37</definedName>
    <definedName name="diasnolectivos">calendario!$A$101:$C$231</definedName>
    <definedName name="Z_93FD35E9_1E2C_4BB9_BB5F_2E73C17EC4AF_.wvu.Cols" localSheetId="3" hidden="1">año!$AI:$AX</definedName>
    <definedName name="Z_93FD35E9_1E2C_4BB9_BB5F_2E73C17EC4AF_.wvu.Cols" localSheetId="4" hidden="1">calendario!$AA:$BJ</definedName>
    <definedName name="Z_93FD35E9_1E2C_4BB9_BB5F_2E73C17EC4AF_.wvu.PrintArea" localSheetId="3" hidden="1">año!$B$1:$AH$35</definedName>
    <definedName name="Z_93FD35E9_1E2C_4BB9_BB5F_2E73C17EC4AF_.wvu.PrintArea" localSheetId="4" hidden="1">calendario!$B$4:$Z$59</definedName>
    <definedName name="Z_93FD35E9_1E2C_4BB9_BB5F_2E73C17EC4AF_.wvu.Rows" localSheetId="13" hidden="1">ABRIL!$38:$71</definedName>
    <definedName name="Z_93FD35E9_1E2C_4BB9_BB5F_2E73C17EC4AF_.wvu.Rows" localSheetId="9" hidden="1">AGOSTO!$38:$71</definedName>
    <definedName name="Z_93FD35E9_1E2C_4BB9_BB5F_2E73C17EC4AF_.wvu.Rows" localSheetId="3" hidden="1">año!$65:$142</definedName>
    <definedName name="Z_93FD35E9_1E2C_4BB9_BB5F_2E73C17EC4AF_.wvu.Rows" localSheetId="5" hidden="1">DICIEMBRE!$38:$70</definedName>
    <definedName name="Z_93FD35E9_1E2C_4BB9_BB5F_2E73C17EC4AF_.wvu.Rows" localSheetId="16" hidden="1">ENERO!$38:$71</definedName>
    <definedName name="Z_93FD35E9_1E2C_4BB9_BB5F_2E73C17EC4AF_.wvu.Rows" localSheetId="15" hidden="1">FEBRERO!$38:$71</definedName>
    <definedName name="Z_93FD35E9_1E2C_4BB9_BB5F_2E73C17EC4AF_.wvu.Rows" localSheetId="10" hidden="1">JULIO!$38:$70</definedName>
    <definedName name="Z_93FD35E9_1E2C_4BB9_BB5F_2E73C17EC4AF_.wvu.Rows" localSheetId="11" hidden="1">JUNIO!$38:$70</definedName>
    <definedName name="Z_93FD35E9_1E2C_4BB9_BB5F_2E73C17EC4AF_.wvu.Rows" localSheetId="14" hidden="1">MARZO!$38:$70</definedName>
    <definedName name="Z_93FD35E9_1E2C_4BB9_BB5F_2E73C17EC4AF_.wvu.Rows" localSheetId="12" hidden="1">MAYO!$38:$70</definedName>
    <definedName name="Z_93FD35E9_1E2C_4BB9_BB5F_2E73C17EC4AF_.wvu.Rows" localSheetId="6" hidden="1">NOVIEMBRE!$38:$70</definedName>
    <definedName name="Z_93FD35E9_1E2C_4BB9_BB5F_2E73C17EC4AF_.wvu.Rows" localSheetId="7" hidden="1">OCTUBRE!$38:$71</definedName>
    <definedName name="Z_93FD35E9_1E2C_4BB9_BB5F_2E73C17EC4AF_.wvu.Rows" localSheetId="8" hidden="1">SEPTIEMBRE!$38:$70</definedName>
  </definedNames>
  <calcPr calcId="124519"/>
  <customWorkbookViews>
    <customWorkbookView name="ALEX CARBO MESEGUER - Vista personalizada" guid="{18C1BFE2-8FEC-454E-854E-6DC32F1C628B}" mergeInterval="0" personalView="1" maximized="1" windowWidth="1008" windowHeight="585" activeSheetId="5"/>
    <customWorkbookView name="catimenu@yahoo.es - Vista personalizada" guid="{93FD35E9-1E2C-4BB9-BB5F-2E73C17EC4AF}" mergeInterval="0" personalView="1" maximized="1" xWindow="1" yWindow="1" windowWidth="1916" windowHeight="802" tabRatio="921" activeSheetId="17" showFormulaBar="0" showComments="commIndAndComment" showObjects="placeholders"/>
  </customWorkbookViews>
</workbook>
</file>

<file path=xl/calcChain.xml><?xml version="1.0" encoding="utf-8"?>
<calcChain xmlns="http://schemas.openxmlformats.org/spreadsheetml/2006/main">
  <c r="W36" i="17"/>
  <c r="P35"/>
  <c r="O1" i="4"/>
  <c r="AJ25" s="1"/>
  <c r="V36" i="12"/>
  <c r="C37" i="11"/>
  <c r="K21" i="5"/>
  <c r="L21"/>
  <c r="C78"/>
  <c r="D78" s="1"/>
  <c r="C73"/>
  <c r="D73" s="1"/>
  <c r="C74"/>
  <c r="D74" s="1"/>
  <c r="C87"/>
  <c r="D87" s="1"/>
  <c r="C75"/>
  <c r="D75" s="1"/>
  <c r="C79"/>
  <c r="D79" s="1"/>
  <c r="C76"/>
  <c r="D76" s="1"/>
  <c r="C77"/>
  <c r="D77" s="1"/>
  <c r="C68"/>
  <c r="D68" s="1"/>
  <c r="C69"/>
  <c r="D69" s="1"/>
  <c r="C84"/>
  <c r="C80"/>
  <c r="D80" s="1"/>
  <c r="C81"/>
  <c r="C70"/>
  <c r="C82"/>
  <c r="C83"/>
  <c r="C71"/>
  <c r="D71" s="1"/>
  <c r="C85"/>
  <c r="C72"/>
  <c r="D72" s="1"/>
  <c r="C88"/>
  <c r="D88" s="1"/>
  <c r="F227" s="1"/>
  <c r="A227" s="1"/>
  <c r="C89"/>
  <c r="D89" s="1"/>
  <c r="F228" s="1"/>
  <c r="A228" s="1"/>
  <c r="C90"/>
  <c r="D90" s="1"/>
  <c r="F229" s="1"/>
  <c r="A229" s="1"/>
  <c r="C91"/>
  <c r="D91" s="1"/>
  <c r="F230" s="1"/>
  <c r="A230" s="1"/>
  <c r="C92"/>
  <c r="D92" s="1"/>
  <c r="F231" s="1"/>
  <c r="A231" s="1"/>
  <c r="C86"/>
  <c r="D86" s="1"/>
  <c r="AH71"/>
  <c r="AI71" s="1"/>
  <c r="H99" l="1"/>
  <c r="H96"/>
  <c r="K95" s="1"/>
  <c r="AI79"/>
  <c r="AL71" s="1"/>
  <c r="BM87" s="1"/>
  <c r="AI75"/>
  <c r="AI74"/>
  <c r="AI78"/>
  <c r="AI73"/>
  <c r="AI77"/>
  <c r="AI76"/>
  <c r="AK71"/>
  <c r="F152" l="1"/>
  <c r="K98"/>
  <c r="C40" i="14"/>
  <c r="C40" i="16"/>
  <c r="F154" i="5" l="1"/>
  <c r="A152"/>
  <c r="AE40" i="10"/>
  <c r="AF40"/>
  <c r="AG40"/>
  <c r="AH40"/>
  <c r="AE41"/>
  <c r="AF41"/>
  <c r="AG41"/>
  <c r="AH41"/>
  <c r="E154" i="5" l="1"/>
  <c r="F155"/>
  <c r="S84" i="1"/>
  <c r="BH78" i="5"/>
  <c r="AW78"/>
  <c r="AU78"/>
  <c r="BH77"/>
  <c r="AW77"/>
  <c r="AU77"/>
  <c r="BH76"/>
  <c r="AW76"/>
  <c r="AU76"/>
  <c r="BH75"/>
  <c r="AW75"/>
  <c r="AU75"/>
  <c r="BH74"/>
  <c r="AW74"/>
  <c r="AU74"/>
  <c r="BH73"/>
  <c r="AW73"/>
  <c r="AU73"/>
  <c r="BH72"/>
  <c r="AW72"/>
  <c r="AU72"/>
  <c r="BH71"/>
  <c r="AW71"/>
  <c r="AU71"/>
  <c r="BH70"/>
  <c r="AW70"/>
  <c r="AU70"/>
  <c r="BH69"/>
  <c r="AW69"/>
  <c r="AU69"/>
  <c r="BH68"/>
  <c r="AW68"/>
  <c r="AU68"/>
  <c r="BH67"/>
  <c r="AW67"/>
  <c r="A88" i="1" s="1"/>
  <c r="AU67" i="5"/>
  <c r="BH66"/>
  <c r="AW66"/>
  <c r="AU66"/>
  <c r="BH65"/>
  <c r="AW65"/>
  <c r="AU65"/>
  <c r="BH64"/>
  <c r="AW64"/>
  <c r="AU64"/>
  <c r="BH63"/>
  <c r="AW63"/>
  <c r="AU63"/>
  <c r="BH62"/>
  <c r="AU62"/>
  <c r="BH61"/>
  <c r="AU61"/>
  <c r="BH60"/>
  <c r="AU60"/>
  <c r="AW9"/>
  <c r="AW8"/>
  <c r="AW7"/>
  <c r="AW6"/>
  <c r="AW5"/>
  <c r="AW4"/>
  <c r="AW3"/>
  <c r="AW2"/>
  <c r="AV1"/>
  <c r="S42" i="15"/>
  <c r="S43"/>
  <c r="L42"/>
  <c r="K47" i="16" s="1"/>
  <c r="L43" i="15"/>
  <c r="N50" i="14" s="1"/>
  <c r="O52" i="12" s="1"/>
  <c r="O51" i="13" s="1"/>
  <c r="E155" i="5" l="1"/>
  <c r="F156"/>
  <c r="K48" i="16"/>
  <c r="N49" i="14"/>
  <c r="O51" i="12" s="1"/>
  <c r="O50" i="13" s="1"/>
  <c r="O38" i="15"/>
  <c r="P38" i="11" s="1"/>
  <c r="P38" i="15"/>
  <c r="AA41" i="16" s="1"/>
  <c r="Q39" i="12"/>
  <c r="Q40" i="13"/>
  <c r="O41" i="12"/>
  <c r="Q41" i="13"/>
  <c r="AH43" i="16"/>
  <c r="AO21" i="4"/>
  <c r="AO23"/>
  <c r="AO24"/>
  <c r="B61" i="5"/>
  <c r="AA30"/>
  <c r="L45" i="13"/>
  <c r="AN31" i="4"/>
  <c r="AN32"/>
  <c r="AB46" i="12"/>
  <c r="V45" i="14"/>
  <c r="AM41" i="15" s="1"/>
  <c r="S45" i="13"/>
  <c r="X46" i="12"/>
  <c r="R45" i="14"/>
  <c r="AI41" i="15" s="1"/>
  <c r="E21" i="5"/>
  <c r="F21"/>
  <c r="G21"/>
  <c r="H21"/>
  <c r="I21"/>
  <c r="J21"/>
  <c r="D21"/>
  <c r="V43" i="13"/>
  <c r="V44"/>
  <c r="W39" i="10"/>
  <c r="W40"/>
  <c r="U46" i="11"/>
  <c r="U47"/>
  <c r="F38" i="14"/>
  <c r="H38"/>
  <c r="V38" i="15"/>
  <c r="I38" i="14" s="1"/>
  <c r="W38" i="15"/>
  <c r="J38" i="14" s="1"/>
  <c r="F39"/>
  <c r="V39" i="15"/>
  <c r="I39" i="14" s="1"/>
  <c r="W39" i="15"/>
  <c r="J39" i="14" s="1"/>
  <c r="F40"/>
  <c r="U40" i="15"/>
  <c r="H40" i="14" s="1"/>
  <c r="V40" i="15"/>
  <c r="I40" i="14" s="1"/>
  <c r="W40" i="15"/>
  <c r="J40" i="14" s="1"/>
  <c r="F41"/>
  <c r="U41" i="15"/>
  <c r="H41" i="14" s="1"/>
  <c r="V41" i="15"/>
  <c r="I41" i="14" s="1"/>
  <c r="W41" i="15"/>
  <c r="J41" i="14" s="1"/>
  <c r="AN21" i="4"/>
  <c r="AN23"/>
  <c r="AE44" i="15" s="1"/>
  <c r="AF44" i="14" s="1"/>
  <c r="AN24" i="4"/>
  <c r="AD43" i="15"/>
  <c r="AG43" i="12" s="1"/>
  <c r="AF42" i="13" s="1"/>
  <c r="AD44" i="15"/>
  <c r="AG44" i="12" s="1"/>
  <c r="AF43" i="13" s="1"/>
  <c r="P82" i="1"/>
  <c r="Q82"/>
  <c r="R82"/>
  <c r="T82"/>
  <c r="U82"/>
  <c r="V82"/>
  <c r="P83"/>
  <c r="P84"/>
  <c r="P85"/>
  <c r="Q85"/>
  <c r="S85"/>
  <c r="T85"/>
  <c r="U85"/>
  <c r="V85"/>
  <c r="P86"/>
  <c r="Q86"/>
  <c r="R86"/>
  <c r="S86"/>
  <c r="T86"/>
  <c r="V86"/>
  <c r="AA41" i="14"/>
  <c r="AJ20" i="4"/>
  <c r="AA41" i="15" s="1"/>
  <c r="AB41" i="14" s="1"/>
  <c r="AJ22" i="4"/>
  <c r="Z43" i="15" s="1"/>
  <c r="AJ23" i="4"/>
  <c r="Z44" i="15" s="1"/>
  <c r="AJ24" i="4"/>
  <c r="AK24"/>
  <c r="AL24"/>
  <c r="AF45" i="12" s="1"/>
  <c r="AE42"/>
  <c r="AC45"/>
  <c r="AJ1" i="7"/>
  <c r="V1"/>
  <c r="AJ1" i="6"/>
  <c r="AD2"/>
  <c r="V1"/>
  <c r="AD2" i="7"/>
  <c r="AJ1" i="8"/>
  <c r="AD2"/>
  <c r="AJ1" i="9"/>
  <c r="V1" i="8"/>
  <c r="AD2" i="9"/>
  <c r="AJ1" i="10"/>
  <c r="V1" i="11"/>
  <c r="AJ1"/>
  <c r="V1" i="9"/>
  <c r="AD2" i="10"/>
  <c r="V1"/>
  <c r="AD2" i="11"/>
  <c r="AJ38" i="6"/>
  <c r="AI38"/>
  <c r="AH38"/>
  <c r="R41" i="7"/>
  <c r="R40"/>
  <c r="AK39" i="16"/>
  <c r="AF39" i="15" s="1"/>
  <c r="R39" i="7"/>
  <c r="O39"/>
  <c r="AI38"/>
  <c r="AL38" i="16"/>
  <c r="AG38" i="8" s="1"/>
  <c r="AK38" i="16"/>
  <c r="AF38" i="8" s="1"/>
  <c r="R38" i="7"/>
  <c r="R41" i="8"/>
  <c r="O41"/>
  <c r="R40"/>
  <c r="AJ39"/>
  <c r="AI39"/>
  <c r="AH39"/>
  <c r="R39"/>
  <c r="Q39"/>
  <c r="O39"/>
  <c r="AI38"/>
  <c r="AH38"/>
  <c r="R38"/>
  <c r="Q38"/>
  <c r="R41" i="9"/>
  <c r="O41"/>
  <c r="R40"/>
  <c r="O40"/>
  <c r="AJ39"/>
  <c r="AI39"/>
  <c r="R39"/>
  <c r="O39"/>
  <c r="AI38"/>
  <c r="AH38"/>
  <c r="R38"/>
  <c r="R41" i="11"/>
  <c r="Q41"/>
  <c r="R40"/>
  <c r="O40"/>
  <c r="R39"/>
  <c r="Q39"/>
  <c r="O39"/>
  <c r="AI38"/>
  <c r="R38"/>
  <c r="AJ1" i="13"/>
  <c r="V1"/>
  <c r="AD2"/>
  <c r="R41"/>
  <c r="P41"/>
  <c r="O41"/>
  <c r="R40"/>
  <c r="P40"/>
  <c r="O40"/>
  <c r="R39"/>
  <c r="O39"/>
  <c r="R38"/>
  <c r="V38" i="14"/>
  <c r="W38"/>
  <c r="V39"/>
  <c r="W39"/>
  <c r="U40"/>
  <c r="V40"/>
  <c r="W40"/>
  <c r="U41"/>
  <c r="V41"/>
  <c r="W41"/>
  <c r="AJ1" i="12"/>
  <c r="V1"/>
  <c r="AD2"/>
  <c r="R41"/>
  <c r="R40"/>
  <c r="Q40"/>
  <c r="O40"/>
  <c r="AJ39"/>
  <c r="AI39"/>
  <c r="R39"/>
  <c r="O39"/>
  <c r="AI38"/>
  <c r="AH38"/>
  <c r="R38"/>
  <c r="AJ1" i="14"/>
  <c r="R38"/>
  <c r="O39"/>
  <c r="Q39"/>
  <c r="R39"/>
  <c r="R40"/>
  <c r="O41"/>
  <c r="R41"/>
  <c r="U39" i="16"/>
  <c r="V39"/>
  <c r="W39"/>
  <c r="U40"/>
  <c r="V40"/>
  <c r="W40"/>
  <c r="T41"/>
  <c r="U41"/>
  <c r="V41"/>
  <c r="W41"/>
  <c r="T42"/>
  <c r="U42"/>
  <c r="V42"/>
  <c r="W42"/>
  <c r="X38" i="15"/>
  <c r="X39"/>
  <c r="X40"/>
  <c r="X41"/>
  <c r="V1" i="14"/>
  <c r="AD2"/>
  <c r="AJ39"/>
  <c r="AI39"/>
  <c r="AH39"/>
  <c r="AI38"/>
  <c r="AH38"/>
  <c r="K11" i="4"/>
  <c r="V8" i="15" s="1"/>
  <c r="L11" i="4"/>
  <c r="W8" i="15" s="1"/>
  <c r="M11" i="4"/>
  <c r="AB31" i="16" s="1"/>
  <c r="N11" i="4"/>
  <c r="Y8" i="15" s="1"/>
  <c r="O11" i="4"/>
  <c r="Z8" i="15" s="1"/>
  <c r="P11" i="4"/>
  <c r="AA8" i="15" s="1"/>
  <c r="Q11" i="4"/>
  <c r="AB8" i="15" s="1"/>
  <c r="AJ1"/>
  <c r="V1"/>
  <c r="AD2"/>
  <c r="AJ1" i="16"/>
  <c r="V1"/>
  <c r="AD2"/>
  <c r="V1" i="17"/>
  <c r="AJ1"/>
  <c r="AD2"/>
  <c r="AA4" i="5"/>
  <c r="H146" i="4"/>
  <c r="N147" s="1"/>
  <c r="C146"/>
  <c r="F37" i="1"/>
  <c r="K22"/>
  <c r="E22"/>
  <c r="F22"/>
  <c r="G22"/>
  <c r="H22"/>
  <c r="E14"/>
  <c r="E15"/>
  <c r="F15"/>
  <c r="G15"/>
  <c r="AO46" i="5"/>
  <c r="AH38"/>
  <c r="AR21"/>
  <c r="AR22" s="1"/>
  <c r="AR23" s="1"/>
  <c r="AR24" s="1"/>
  <c r="AR25" s="1"/>
  <c r="AR26" s="1"/>
  <c r="AR27" s="1"/>
  <c r="AR28" s="1"/>
  <c r="AR29" s="1"/>
  <c r="AR30" s="1"/>
  <c r="AR31" s="1"/>
  <c r="AR32" s="1"/>
  <c r="AT21"/>
  <c r="AT22" s="1"/>
  <c r="AT23" s="1"/>
  <c r="AT24" s="1"/>
  <c r="AT25" s="1"/>
  <c r="AT26" s="1"/>
  <c r="AT27" s="1"/>
  <c r="AT28" s="1"/>
  <c r="AT29" s="1"/>
  <c r="AT30" s="1"/>
  <c r="AT31" s="1"/>
  <c r="AT32" s="1"/>
  <c r="AJ65"/>
  <c r="AJ26" i="4"/>
  <c r="AK26"/>
  <c r="AL26"/>
  <c r="AM26"/>
  <c r="AN26"/>
  <c r="AO26"/>
  <c r="AP26"/>
  <c r="AQ26"/>
  <c r="AS26"/>
  <c r="AT26"/>
  <c r="AU26"/>
  <c r="AV26"/>
  <c r="AJ27"/>
  <c r="AL27"/>
  <c r="AM27"/>
  <c r="AN27"/>
  <c r="AO27"/>
  <c r="AS27"/>
  <c r="AT27"/>
  <c r="AU27"/>
  <c r="AV27"/>
  <c r="AJ28"/>
  <c r="AM28"/>
  <c r="AN28"/>
  <c r="AO28"/>
  <c r="AP28"/>
  <c r="AQ28"/>
  <c r="AR28"/>
  <c r="AS28"/>
  <c r="AU28"/>
  <c r="AV28"/>
  <c r="AJ29"/>
  <c r="AK29"/>
  <c r="AL29"/>
  <c r="AM29"/>
  <c r="AO29"/>
  <c r="AS29"/>
  <c r="AU29"/>
  <c r="AV29"/>
  <c r="AL30"/>
  <c r="AO30"/>
  <c r="AR30"/>
  <c r="AU30"/>
  <c r="AV30"/>
  <c r="AL31"/>
  <c r="AO31"/>
  <c r="AR31"/>
  <c r="AS31"/>
  <c r="AU31"/>
  <c r="AV31"/>
  <c r="AJ32"/>
  <c r="AK32"/>
  <c r="AL32"/>
  <c r="AO32"/>
  <c r="AP32"/>
  <c r="AQ32"/>
  <c r="AR32"/>
  <c r="AS32"/>
  <c r="AT32"/>
  <c r="AU32"/>
  <c r="AV32"/>
  <c r="AL33"/>
  <c r="AM33"/>
  <c r="AO33"/>
  <c r="AS33"/>
  <c r="AV33"/>
  <c r="AK34"/>
  <c r="AM34"/>
  <c r="AN34"/>
  <c r="AO34"/>
  <c r="AR34"/>
  <c r="AS34"/>
  <c r="AU34"/>
  <c r="AV34"/>
  <c r="AK35"/>
  <c r="AL35"/>
  <c r="AM35"/>
  <c r="AN35"/>
  <c r="AO35"/>
  <c r="AR35"/>
  <c r="AS35"/>
  <c r="AU35"/>
  <c r="AV35"/>
  <c r="AW35"/>
  <c r="AM20"/>
  <c r="AN20"/>
  <c r="AO20"/>
  <c r="AP20"/>
  <c r="AQ20"/>
  <c r="AR20"/>
  <c r="AP21"/>
  <c r="AQ21"/>
  <c r="AR21"/>
  <c r="AT21"/>
  <c r="AQ22"/>
  <c r="AR22"/>
  <c r="AT22"/>
  <c r="AP23"/>
  <c r="AQ23"/>
  <c r="AR23"/>
  <c r="AT23"/>
  <c r="AP24"/>
  <c r="AQ24"/>
  <c r="AR24"/>
  <c r="AT24"/>
  <c r="AK25"/>
  <c r="AL25"/>
  <c r="AM25"/>
  <c r="AN25"/>
  <c r="AO25"/>
  <c r="AP25"/>
  <c r="AQ25"/>
  <c r="AR25"/>
  <c r="AT25"/>
  <c r="C11" i="5"/>
  <c r="C12" s="1"/>
  <c r="C13" s="1"/>
  <c r="C14" s="1"/>
  <c r="W1"/>
  <c r="AG38" i="11" l="1"/>
  <c r="AG38" i="15"/>
  <c r="AF39" i="14"/>
  <c r="Q38" i="12"/>
  <c r="AG38" i="7"/>
  <c r="AF39" i="12"/>
  <c r="AG38" i="13"/>
  <c r="Q38" i="11"/>
  <c r="AG38" i="12"/>
  <c r="AG38" i="14"/>
  <c r="Q38" i="13"/>
  <c r="F157" i="5"/>
  <c r="E156"/>
  <c r="AA5"/>
  <c r="AF9" s="1"/>
  <c r="AF10" s="1"/>
  <c r="V31" i="16"/>
  <c r="M46" i="13"/>
  <c r="M47"/>
  <c r="Q38" i="14"/>
  <c r="P38" i="9"/>
  <c r="AG38"/>
  <c r="AA43" i="14"/>
  <c r="AB43" i="12"/>
  <c r="AH44"/>
  <c r="AG43" i="13" s="1"/>
  <c r="AF38" i="7"/>
  <c r="P41" i="11"/>
  <c r="Q40" i="7"/>
  <c r="X8" i="15"/>
  <c r="AF38" i="14"/>
  <c r="O40"/>
  <c r="Q39" i="13"/>
  <c r="P39" i="11"/>
  <c r="Q39" i="9"/>
  <c r="P41"/>
  <c r="O40" i="8"/>
  <c r="Q38" i="7"/>
  <c r="Q39"/>
  <c r="O40"/>
  <c r="Q41"/>
  <c r="AF38" i="9"/>
  <c r="AF38" i="13"/>
  <c r="P39"/>
  <c r="Q40" i="11"/>
  <c r="Q38" i="9"/>
  <c r="P41" i="8"/>
  <c r="P41" i="7"/>
  <c r="AJ21" i="5"/>
  <c r="AH47" i="16"/>
  <c r="AD45" i="12"/>
  <c r="AH44" i="16"/>
  <c r="AG42" i="14"/>
  <c r="AI42" i="12"/>
  <c r="AH41" i="13" s="1"/>
  <c r="P38" i="12"/>
  <c r="Q41"/>
  <c r="P40" i="11"/>
  <c r="P38" i="8"/>
  <c r="P38" i="7"/>
  <c r="P40"/>
  <c r="Z41" i="16"/>
  <c r="AF39" i="9"/>
  <c r="AF39" i="8"/>
  <c r="AF38" i="11"/>
  <c r="Y31" i="16"/>
  <c r="AF38" i="15"/>
  <c r="P41" i="14"/>
  <c r="P40"/>
  <c r="P39"/>
  <c r="P38"/>
  <c r="AF38" i="12"/>
  <c r="P39"/>
  <c r="P40"/>
  <c r="P41"/>
  <c r="O41" i="11"/>
  <c r="P39" i="9"/>
  <c r="Q40"/>
  <c r="Q41"/>
  <c r="Q40" i="8"/>
  <c r="Q41"/>
  <c r="O41" i="7"/>
  <c r="AE44" i="14"/>
  <c r="AE43"/>
  <c r="Q41"/>
  <c r="Q40"/>
  <c r="P38" i="13"/>
  <c r="P40" i="9"/>
  <c r="P39" i="8"/>
  <c r="P40"/>
  <c r="P39" i="7"/>
  <c r="AH42" i="12"/>
  <c r="AG41" i="13" s="1"/>
  <c r="AF42" i="14"/>
  <c r="AE45" i="12"/>
  <c r="AB44"/>
  <c r="AA44" i="14"/>
  <c r="AH43" i="13"/>
  <c r="AG44"/>
  <c r="AH44"/>
  <c r="AJ22" i="5"/>
  <c r="E157" l="1"/>
  <c r="A157" s="1"/>
  <c r="F158"/>
  <c r="Z4"/>
  <c r="AC5" s="1"/>
  <c r="AK5"/>
  <c r="AP4" s="1"/>
  <c r="AJ23"/>
  <c r="F159" l="1"/>
  <c r="E158"/>
  <c r="A158" s="1"/>
  <c r="AM10"/>
  <c r="AN10" s="1"/>
  <c r="AN11" s="1"/>
  <c r="AM9"/>
  <c r="AN9" s="1"/>
  <c r="AO9" s="1"/>
  <c r="AM8"/>
  <c r="AN8" s="1"/>
  <c r="AN13" s="1"/>
  <c r="Y8" i="16"/>
  <c r="A1" i="2"/>
  <c r="W4" i="5"/>
  <c r="V65" s="1"/>
  <c r="A62" i="1"/>
  <c r="AV87" i="5" s="1"/>
  <c r="F160" l="1"/>
  <c r="E159"/>
  <c r="A159" s="1"/>
  <c r="F101"/>
  <c r="F132"/>
  <c r="A132" s="1"/>
  <c r="A81" i="1"/>
  <c r="BK71" i="5"/>
  <c r="BJ61"/>
  <c r="B20" i="2"/>
  <c r="B19"/>
  <c r="B22" s="1"/>
  <c r="C3"/>
  <c r="B21"/>
  <c r="D3"/>
  <c r="B3"/>
  <c r="B4"/>
  <c r="D4"/>
  <c r="C4"/>
  <c r="AD20" i="5"/>
  <c r="W2"/>
  <c r="AE5" s="1"/>
  <c r="AD5" i="9"/>
  <c r="AO1" i="16"/>
  <c r="AA1" i="8"/>
  <c r="AD5" i="6"/>
  <c r="AA1" i="9"/>
  <c r="AO1" i="13"/>
  <c r="AO1" i="9"/>
  <c r="BD147" i="4"/>
  <c r="AO1" i="10"/>
  <c r="AD5"/>
  <c r="AO1" i="15"/>
  <c r="AD5" i="16"/>
  <c r="AD5" i="13"/>
  <c r="AD5" i="14"/>
  <c r="AD5" i="15"/>
  <c r="AO1" i="12"/>
  <c r="AD5" i="11"/>
  <c r="AD5" i="7"/>
  <c r="AO1" i="17"/>
  <c r="AA1" s="1"/>
  <c r="AA1" i="6"/>
  <c r="AO1" s="1"/>
  <c r="AA1" i="14"/>
  <c r="AO1" i="11"/>
  <c r="C3" i="4"/>
  <c r="AA1" i="16"/>
  <c r="AR33" i="4"/>
  <c r="AA1" i="13"/>
  <c r="AD5" i="17"/>
  <c r="AA1" i="11"/>
  <c r="AO1" i="8"/>
  <c r="AA1" i="7"/>
  <c r="AO1"/>
  <c r="AA1" i="10"/>
  <c r="AA1" i="12"/>
  <c r="AD5" i="8"/>
  <c r="AA1" i="15"/>
  <c r="AO1" i="14"/>
  <c r="AD5" i="12"/>
  <c r="AA3" i="4"/>
  <c r="S31" s="1"/>
  <c r="I1"/>
  <c r="S37" s="1"/>
  <c r="U1" s="1"/>
  <c r="AE4" i="5"/>
  <c r="E160" l="1"/>
  <c r="A160" s="1"/>
  <c r="F161"/>
  <c r="F102"/>
  <c r="E101"/>
  <c r="A101" s="1"/>
  <c r="AH4"/>
  <c r="BK73"/>
  <c r="BK72"/>
  <c r="AP17"/>
  <c r="AQ8" i="4"/>
  <c r="AR8" s="1"/>
  <c r="AI5" i="5"/>
  <c r="AL3"/>
  <c r="AE2" s="1"/>
  <c r="AL56"/>
  <c r="AF14"/>
  <c r="AI6"/>
  <c r="AI60"/>
  <c r="AN50"/>
  <c r="R4"/>
  <c r="AL46"/>
  <c r="AK46"/>
  <c r="AK47" s="1"/>
  <c r="D9" i="2"/>
  <c r="C9"/>
  <c r="B9"/>
  <c r="B23"/>
  <c r="B24" s="1"/>
  <c r="B6"/>
  <c r="C6"/>
  <c r="C7" s="1"/>
  <c r="C5"/>
  <c r="D5"/>
  <c r="B5"/>
  <c r="AF5" i="5" l="1"/>
  <c r="P60"/>
  <c r="F162"/>
  <c r="E161"/>
  <c r="A161" s="1"/>
  <c r="F103"/>
  <c r="E102"/>
  <c r="A102" s="1"/>
  <c r="O62"/>
  <c r="AC62"/>
  <c r="AL28" i="4" s="1"/>
  <c r="AJ4" i="5"/>
  <c r="B7" i="2"/>
  <c r="E36" i="1"/>
  <c r="A60" s="1"/>
  <c r="B60" s="1"/>
  <c r="AH6" i="5"/>
  <c r="AG21" s="1"/>
  <c r="E37" i="1" s="1"/>
  <c r="AI7" i="5"/>
  <c r="AH17" s="1"/>
  <c r="AG17" s="1"/>
  <c r="AJ17" s="1"/>
  <c r="AJ18" s="1"/>
  <c r="AG5"/>
  <c r="AG4"/>
  <c r="AF12"/>
  <c r="P59"/>
  <c r="D8" i="2"/>
  <c r="B8"/>
  <c r="AN46" i="5"/>
  <c r="AL47"/>
  <c r="AL48" s="1"/>
  <c r="AE50"/>
  <c r="AK48"/>
  <c r="AR26" i="4"/>
  <c r="AI63" i="5"/>
  <c r="AR29" i="4" s="1"/>
  <c r="AI67" i="5"/>
  <c r="D24" i="2"/>
  <c r="C24"/>
  <c r="AQ50" i="5"/>
  <c r="AQ51" s="1"/>
  <c r="AQ52" s="1"/>
  <c r="AN51"/>
  <c r="AZ17" i="4"/>
  <c r="AZ27"/>
  <c r="AZ19"/>
  <c r="AZ21"/>
  <c r="AZ25"/>
  <c r="AZ23"/>
  <c r="AZ13"/>
  <c r="AI12" i="5" l="1"/>
  <c r="AJ12" s="1"/>
  <c r="A21" s="1"/>
  <c r="F163"/>
  <c r="E162"/>
  <c r="A162" s="1"/>
  <c r="F104"/>
  <c r="E103"/>
  <c r="A103" s="1"/>
  <c r="F36" i="1"/>
  <c r="G35" s="1"/>
  <c r="G36" s="1"/>
  <c r="H36" s="1"/>
  <c r="AI11" i="5"/>
  <c r="M121" i="1" s="1"/>
  <c r="M122" s="1"/>
  <c r="A65"/>
  <c r="A67" s="1"/>
  <c r="A64"/>
  <c r="AW87" i="5" s="1"/>
  <c r="M80" i="1"/>
  <c r="P80" s="1"/>
  <c r="AJ14" i="5"/>
  <c r="AT20" i="4"/>
  <c r="AP46" i="5"/>
  <c r="AP47" s="1"/>
  <c r="AN47"/>
  <c r="D14" i="2"/>
  <c r="I18" s="1"/>
  <c r="B10"/>
  <c r="AH63" i="5"/>
  <c r="AN22" i="4"/>
  <c r="AE43" i="15" s="1"/>
  <c r="F250" i="1"/>
  <c r="L250" s="1"/>
  <c r="F321"/>
  <c r="L321" s="1"/>
  <c r="F417"/>
  <c r="L417" s="1"/>
  <c r="F302"/>
  <c r="L302" s="1"/>
  <c r="F424"/>
  <c r="L424" s="1"/>
  <c r="F359"/>
  <c r="L359" s="1"/>
  <c r="F423"/>
  <c r="L423" s="1"/>
  <c r="F125"/>
  <c r="L125" s="1"/>
  <c r="F175"/>
  <c r="L175" s="1"/>
  <c r="F262"/>
  <c r="L262" s="1"/>
  <c r="F233"/>
  <c r="L233" s="1"/>
  <c r="F222"/>
  <c r="L222" s="1"/>
  <c r="F85"/>
  <c r="L85" s="1"/>
  <c r="F116"/>
  <c r="L116" s="1"/>
  <c r="F296"/>
  <c r="L296" s="1"/>
  <c r="F149"/>
  <c r="L149" s="1"/>
  <c r="F271"/>
  <c r="L271" s="1"/>
  <c r="F126"/>
  <c r="L126" s="1"/>
  <c r="F281"/>
  <c r="L281" s="1"/>
  <c r="F199"/>
  <c r="L199" s="1"/>
  <c r="F416"/>
  <c r="L416" s="1"/>
  <c r="F202"/>
  <c r="L202" s="1"/>
  <c r="F367"/>
  <c r="L367" s="1"/>
  <c r="F65"/>
  <c r="L65" s="1"/>
  <c r="F190"/>
  <c r="L190" s="1"/>
  <c r="F241"/>
  <c r="L241" s="1"/>
  <c r="F353"/>
  <c r="L353" s="1"/>
  <c r="F264"/>
  <c r="L264" s="1"/>
  <c r="F191"/>
  <c r="L191" s="1"/>
  <c r="F71"/>
  <c r="L71" s="1"/>
  <c r="F402"/>
  <c r="L402" s="1"/>
  <c r="F398"/>
  <c r="L398" s="1"/>
  <c r="F131"/>
  <c r="L131" s="1"/>
  <c r="F255"/>
  <c r="L255" s="1"/>
  <c r="F362"/>
  <c r="L362" s="1"/>
  <c r="F285"/>
  <c r="L285" s="1"/>
  <c r="F273"/>
  <c r="L273" s="1"/>
  <c r="F206"/>
  <c r="L206" s="1"/>
  <c r="F361"/>
  <c r="L361" s="1"/>
  <c r="F87"/>
  <c r="L87" s="1"/>
  <c r="F139"/>
  <c r="L139" s="1"/>
  <c r="F287"/>
  <c r="L287" s="1"/>
  <c r="F288"/>
  <c r="L288" s="1"/>
  <c r="F163"/>
  <c r="L163" s="1"/>
  <c r="F188"/>
  <c r="L188" s="1"/>
  <c r="F228"/>
  <c r="L228" s="1"/>
  <c r="F79"/>
  <c r="L79" s="1"/>
  <c r="F249"/>
  <c r="L249" s="1"/>
  <c r="F183"/>
  <c r="L183" s="1"/>
  <c r="F194"/>
  <c r="L194" s="1"/>
  <c r="F118"/>
  <c r="L118" s="1"/>
  <c r="F162"/>
  <c r="L162" s="1"/>
  <c r="F278"/>
  <c r="L278" s="1"/>
  <c r="F91"/>
  <c r="L91" s="1"/>
  <c r="F101"/>
  <c r="L101" s="1"/>
  <c r="F257"/>
  <c r="L257" s="1"/>
  <c r="F387"/>
  <c r="L387" s="1"/>
  <c r="F227"/>
  <c r="L227" s="1"/>
  <c r="F187"/>
  <c r="L187" s="1"/>
  <c r="F170"/>
  <c r="L170" s="1"/>
  <c r="F239"/>
  <c r="L239" s="1"/>
  <c r="F106"/>
  <c r="L106" s="1"/>
  <c r="F371"/>
  <c r="L371" s="1"/>
  <c r="F225"/>
  <c r="L225" s="1"/>
  <c r="F240"/>
  <c r="L240" s="1"/>
  <c r="F182"/>
  <c r="L182" s="1"/>
  <c r="F383"/>
  <c r="L383" s="1"/>
  <c r="F299"/>
  <c r="L299" s="1"/>
  <c r="F377"/>
  <c r="L377" s="1"/>
  <c r="F252"/>
  <c r="L252" s="1"/>
  <c r="F360"/>
  <c r="L360" s="1"/>
  <c r="F108"/>
  <c r="L108" s="1"/>
  <c r="F326"/>
  <c r="L326" s="1"/>
  <c r="F76"/>
  <c r="L76" s="1"/>
  <c r="F103"/>
  <c r="L103" s="1"/>
  <c r="F200"/>
  <c r="L200" s="1"/>
  <c r="F327"/>
  <c r="L327" s="1"/>
  <c r="F347"/>
  <c r="L347" s="1"/>
  <c r="F403"/>
  <c r="L403" s="1"/>
  <c r="F146"/>
  <c r="L146" s="1"/>
  <c r="F99"/>
  <c r="L99" s="1"/>
  <c r="F140"/>
  <c r="L140" s="1"/>
  <c r="F291"/>
  <c r="L291" s="1"/>
  <c r="F369"/>
  <c r="L369" s="1"/>
  <c r="F67"/>
  <c r="L67" s="1"/>
  <c r="F314"/>
  <c r="L314" s="1"/>
  <c r="F215"/>
  <c r="L215" s="1"/>
  <c r="F123"/>
  <c r="L123" s="1"/>
  <c r="F399"/>
  <c r="L399" s="1"/>
  <c r="F276"/>
  <c r="L276" s="1"/>
  <c r="F261"/>
  <c r="L261" s="1"/>
  <c r="F323"/>
  <c r="L323" s="1"/>
  <c r="F355"/>
  <c r="L355" s="1"/>
  <c r="F98"/>
  <c r="L98" s="1"/>
  <c r="F419"/>
  <c r="L419" s="1"/>
  <c r="F119"/>
  <c r="L119" s="1"/>
  <c r="F381"/>
  <c r="L381" s="1"/>
  <c r="F322"/>
  <c r="L322" s="1"/>
  <c r="F144"/>
  <c r="L144" s="1"/>
  <c r="F350"/>
  <c r="L350" s="1"/>
  <c r="F238"/>
  <c r="L238" s="1"/>
  <c r="F298"/>
  <c r="L298" s="1"/>
  <c r="F75"/>
  <c r="L75" s="1"/>
  <c r="F337"/>
  <c r="L337" s="1"/>
  <c r="F77"/>
  <c r="L77" s="1"/>
  <c r="F408"/>
  <c r="L408" s="1"/>
  <c r="F135"/>
  <c r="L135" s="1"/>
  <c r="F418"/>
  <c r="L418" s="1"/>
  <c r="F90"/>
  <c r="L90" s="1"/>
  <c r="F114"/>
  <c r="L114" s="1"/>
  <c r="F247"/>
  <c r="L247" s="1"/>
  <c r="F352"/>
  <c r="L352" s="1"/>
  <c r="F307"/>
  <c r="L307" s="1"/>
  <c r="F413"/>
  <c r="L413" s="1"/>
  <c r="F70"/>
  <c r="L70" s="1"/>
  <c r="F237"/>
  <c r="L237" s="1"/>
  <c r="F368"/>
  <c r="L368" s="1"/>
  <c r="F313"/>
  <c r="L313" s="1"/>
  <c r="F221"/>
  <c r="L221" s="1"/>
  <c r="F316"/>
  <c r="L316" s="1"/>
  <c r="F107"/>
  <c r="L107" s="1"/>
  <c r="F426"/>
  <c r="L426" s="1"/>
  <c r="F232"/>
  <c r="L232" s="1"/>
  <c r="F74"/>
  <c r="L74" s="1"/>
  <c r="F210"/>
  <c r="L210" s="1"/>
  <c r="F177"/>
  <c r="L177" s="1"/>
  <c r="F274"/>
  <c r="L274" s="1"/>
  <c r="F270"/>
  <c r="L270" s="1"/>
  <c r="F204"/>
  <c r="L204" s="1"/>
  <c r="F420"/>
  <c r="L420" s="1"/>
  <c r="F256"/>
  <c r="L256" s="1"/>
  <c r="F203"/>
  <c r="L203" s="1"/>
  <c r="F219"/>
  <c r="L219" s="1"/>
  <c r="F80"/>
  <c r="L80" s="1"/>
  <c r="F142"/>
  <c r="L142" s="1"/>
  <c r="F213"/>
  <c r="L213" s="1"/>
  <c r="F283"/>
  <c r="L283" s="1"/>
  <c r="F112"/>
  <c r="L112" s="1"/>
  <c r="F340"/>
  <c r="L340" s="1"/>
  <c r="F111"/>
  <c r="L111" s="1"/>
  <c r="F243"/>
  <c r="L243" s="1"/>
  <c r="F427"/>
  <c r="L427" s="1"/>
  <c r="F366"/>
  <c r="L366" s="1"/>
  <c r="F214"/>
  <c r="L214" s="1"/>
  <c r="F120"/>
  <c r="L120" s="1"/>
  <c r="F265"/>
  <c r="L265" s="1"/>
  <c r="F286"/>
  <c r="L286" s="1"/>
  <c r="F151"/>
  <c r="L151" s="1"/>
  <c r="F292"/>
  <c r="L292" s="1"/>
  <c r="F394"/>
  <c r="L394" s="1"/>
  <c r="F230"/>
  <c r="L230" s="1"/>
  <c r="F244"/>
  <c r="L244" s="1"/>
  <c r="F216"/>
  <c r="L216" s="1"/>
  <c r="F156"/>
  <c r="L156" s="1"/>
  <c r="F133"/>
  <c r="L133" s="1"/>
  <c r="F317"/>
  <c r="L317" s="1"/>
  <c r="F242"/>
  <c r="L242" s="1"/>
  <c r="F405"/>
  <c r="L405" s="1"/>
  <c r="F389"/>
  <c r="L389" s="1"/>
  <c r="F318"/>
  <c r="L318" s="1"/>
  <c r="F150"/>
  <c r="L150" s="1"/>
  <c r="F115"/>
  <c r="L115" s="1"/>
  <c r="F379"/>
  <c r="L379" s="1"/>
  <c r="F105"/>
  <c r="L105" s="1"/>
  <c r="F208"/>
  <c r="L208" s="1"/>
  <c r="F382"/>
  <c r="L382" s="1"/>
  <c r="F339"/>
  <c r="L339" s="1"/>
  <c r="F130"/>
  <c r="L130" s="1"/>
  <c r="F234"/>
  <c r="L234" s="1"/>
  <c r="F137"/>
  <c r="L137" s="1"/>
  <c r="F246"/>
  <c r="L246" s="1"/>
  <c r="F81"/>
  <c r="L81" s="1"/>
  <c r="F280"/>
  <c r="L280" s="1"/>
  <c r="F218"/>
  <c r="L218" s="1"/>
  <c r="F393"/>
  <c r="L393" s="1"/>
  <c r="F349"/>
  <c r="L349" s="1"/>
  <c r="F411"/>
  <c r="L411" s="1"/>
  <c r="F152"/>
  <c r="L152" s="1"/>
  <c r="F159"/>
  <c r="L159" s="1"/>
  <c r="F267"/>
  <c r="L267" s="1"/>
  <c r="F198"/>
  <c r="L198" s="1"/>
  <c r="F82"/>
  <c r="L82" s="1"/>
  <c r="F157"/>
  <c r="L157" s="1"/>
  <c r="F153"/>
  <c r="L153" s="1"/>
  <c r="F229"/>
  <c r="L229" s="1"/>
  <c r="F311"/>
  <c r="L311" s="1"/>
  <c r="F180"/>
  <c r="L180" s="1"/>
  <c r="F290"/>
  <c r="L290" s="1"/>
  <c r="F320"/>
  <c r="L320" s="1"/>
  <c r="F378"/>
  <c r="L378" s="1"/>
  <c r="F397"/>
  <c r="L397" s="1"/>
  <c r="F66"/>
  <c r="L66" s="1"/>
  <c r="F346"/>
  <c r="L346" s="1"/>
  <c r="F181"/>
  <c r="L181" s="1"/>
  <c r="F132"/>
  <c r="L132" s="1"/>
  <c r="F330"/>
  <c r="L330" s="1"/>
  <c r="F308"/>
  <c r="L308" s="1"/>
  <c r="F174"/>
  <c r="L174" s="1"/>
  <c r="F117"/>
  <c r="L117" s="1"/>
  <c r="F164"/>
  <c r="L164" s="1"/>
  <c r="F333"/>
  <c r="L333" s="1"/>
  <c r="F266"/>
  <c r="L266" s="1"/>
  <c r="F73"/>
  <c r="L73" s="1"/>
  <c r="F344"/>
  <c r="L344" s="1"/>
  <c r="F336"/>
  <c r="L336" s="1"/>
  <c r="F375"/>
  <c r="L375" s="1"/>
  <c r="F64"/>
  <c r="L64" s="1"/>
  <c r="F86"/>
  <c r="L86" s="1"/>
  <c r="F374"/>
  <c r="L374" s="1"/>
  <c r="F260"/>
  <c r="L260" s="1"/>
  <c r="F357"/>
  <c r="L357" s="1"/>
  <c r="F172"/>
  <c r="L172" s="1"/>
  <c r="F96"/>
  <c r="L96" s="1"/>
  <c r="F392"/>
  <c r="L392" s="1"/>
  <c r="F226"/>
  <c r="L226" s="1"/>
  <c r="F325"/>
  <c r="L325" s="1"/>
  <c r="F310"/>
  <c r="L310" s="1"/>
  <c r="F401"/>
  <c r="L401" s="1"/>
  <c r="F284"/>
  <c r="L284" s="1"/>
  <c r="F201"/>
  <c r="L201" s="1"/>
  <c r="F300"/>
  <c r="L300" s="1"/>
  <c r="F63"/>
  <c r="F35"/>
  <c r="F124"/>
  <c r="L124" s="1"/>
  <c r="F309"/>
  <c r="L309" s="1"/>
  <c r="F335"/>
  <c r="L335" s="1"/>
  <c r="F166"/>
  <c r="L166" s="1"/>
  <c r="F212"/>
  <c r="L212" s="1"/>
  <c r="F345"/>
  <c r="L345" s="1"/>
  <c r="F245"/>
  <c r="L245" s="1"/>
  <c r="F301"/>
  <c r="L301" s="1"/>
  <c r="F154"/>
  <c r="L154" s="1"/>
  <c r="F195"/>
  <c r="L195" s="1"/>
  <c r="F95"/>
  <c r="L95" s="1"/>
  <c r="F306"/>
  <c r="L306" s="1"/>
  <c r="F269"/>
  <c r="L269" s="1"/>
  <c r="F358"/>
  <c r="L358" s="1"/>
  <c r="F282"/>
  <c r="L282" s="1"/>
  <c r="F148"/>
  <c r="L148" s="1"/>
  <c r="F315"/>
  <c r="L315" s="1"/>
  <c r="F272"/>
  <c r="L272" s="1"/>
  <c r="F88"/>
  <c r="L88" s="1"/>
  <c r="F189"/>
  <c r="L189" s="1"/>
  <c r="F404"/>
  <c r="L404" s="1"/>
  <c r="F331"/>
  <c r="L331" s="1"/>
  <c r="F209"/>
  <c r="L209" s="1"/>
  <c r="F304"/>
  <c r="L304" s="1"/>
  <c r="F372"/>
  <c r="L372" s="1"/>
  <c r="F127"/>
  <c r="L127" s="1"/>
  <c r="F425"/>
  <c r="L425" s="1"/>
  <c r="F338"/>
  <c r="L338" s="1"/>
  <c r="F158"/>
  <c r="L158" s="1"/>
  <c r="F236"/>
  <c r="L236" s="1"/>
  <c r="F407"/>
  <c r="L407" s="1"/>
  <c r="F251"/>
  <c r="L251" s="1"/>
  <c r="F412"/>
  <c r="L412" s="1"/>
  <c r="F171"/>
  <c r="L171" s="1"/>
  <c r="F385"/>
  <c r="L385" s="1"/>
  <c r="F109"/>
  <c r="L109" s="1"/>
  <c r="F388"/>
  <c r="L388" s="1"/>
  <c r="F235"/>
  <c r="L235" s="1"/>
  <c r="F312"/>
  <c r="L312" s="1"/>
  <c r="F373"/>
  <c r="L373" s="1"/>
  <c r="F428"/>
  <c r="L428" s="1"/>
  <c r="F365"/>
  <c r="L365" s="1"/>
  <c r="F410"/>
  <c r="L410" s="1"/>
  <c r="F161"/>
  <c r="L161" s="1"/>
  <c r="F258"/>
  <c r="L258" s="1"/>
  <c r="F400"/>
  <c r="L400" s="1"/>
  <c r="F409"/>
  <c r="L409" s="1"/>
  <c r="F295"/>
  <c r="L295" s="1"/>
  <c r="F104"/>
  <c r="L104" s="1"/>
  <c r="F173"/>
  <c r="L173" s="1"/>
  <c r="F329"/>
  <c r="L329" s="1"/>
  <c r="F384"/>
  <c r="L384" s="1"/>
  <c r="F129"/>
  <c r="L129" s="1"/>
  <c r="F110"/>
  <c r="L110" s="1"/>
  <c r="F248"/>
  <c r="L248" s="1"/>
  <c r="F184"/>
  <c r="L184" s="1"/>
  <c r="F343"/>
  <c r="L343" s="1"/>
  <c r="F165"/>
  <c r="L165" s="1"/>
  <c r="F94"/>
  <c r="L94" s="1"/>
  <c r="F224"/>
  <c r="L224" s="1"/>
  <c r="F305"/>
  <c r="L305" s="1"/>
  <c r="F297"/>
  <c r="L297" s="1"/>
  <c r="F422"/>
  <c r="L422" s="1"/>
  <c r="F294"/>
  <c r="L294" s="1"/>
  <c r="F134"/>
  <c r="L134" s="1"/>
  <c r="F196"/>
  <c r="L196" s="1"/>
  <c r="F89"/>
  <c r="L89" s="1"/>
  <c r="F128"/>
  <c r="L128" s="1"/>
  <c r="F380"/>
  <c r="L380" s="1"/>
  <c r="F207"/>
  <c r="L207" s="1"/>
  <c r="F421"/>
  <c r="L421" s="1"/>
  <c r="F303"/>
  <c r="L303" s="1"/>
  <c r="F100"/>
  <c r="L100" s="1"/>
  <c r="F376"/>
  <c r="L376" s="1"/>
  <c r="F231"/>
  <c r="L231" s="1"/>
  <c r="F145"/>
  <c r="L145" s="1"/>
  <c r="F217"/>
  <c r="L217" s="1"/>
  <c r="F179"/>
  <c r="L179" s="1"/>
  <c r="F363"/>
  <c r="L363" s="1"/>
  <c r="F211"/>
  <c r="L211" s="1"/>
  <c r="F293"/>
  <c r="L293" s="1"/>
  <c r="F97"/>
  <c r="L97" s="1"/>
  <c r="F78"/>
  <c r="L78" s="1"/>
  <c r="F253"/>
  <c r="L253" s="1"/>
  <c r="F396"/>
  <c r="L396" s="1"/>
  <c r="F169"/>
  <c r="L169" s="1"/>
  <c r="F364"/>
  <c r="L364" s="1"/>
  <c r="F160"/>
  <c r="L160" s="1"/>
  <c r="F406"/>
  <c r="L406" s="1"/>
  <c r="F348"/>
  <c r="L348" s="1"/>
  <c r="F102"/>
  <c r="L102" s="1"/>
  <c r="F289"/>
  <c r="L289" s="1"/>
  <c r="F415"/>
  <c r="L415" s="1"/>
  <c r="F178"/>
  <c r="L178" s="1"/>
  <c r="F186"/>
  <c r="L186" s="1"/>
  <c r="F370"/>
  <c r="L370" s="1"/>
  <c r="F197"/>
  <c r="L197" s="1"/>
  <c r="F342"/>
  <c r="L342" s="1"/>
  <c r="F341"/>
  <c r="L341" s="1"/>
  <c r="F324"/>
  <c r="L324" s="1"/>
  <c r="F354"/>
  <c r="L354" s="1"/>
  <c r="F328"/>
  <c r="L328" s="1"/>
  <c r="F185"/>
  <c r="L185" s="1"/>
  <c r="F395"/>
  <c r="L395" s="1"/>
  <c r="F220"/>
  <c r="L220" s="1"/>
  <c r="F83"/>
  <c r="L83" s="1"/>
  <c r="F319"/>
  <c r="L319" s="1"/>
  <c r="F279"/>
  <c r="L279" s="1"/>
  <c r="F143"/>
  <c r="L143" s="1"/>
  <c r="F268"/>
  <c r="L268" s="1"/>
  <c r="F391"/>
  <c r="L391" s="1"/>
  <c r="F93"/>
  <c r="L93" s="1"/>
  <c r="F414"/>
  <c r="L414" s="1"/>
  <c r="F167"/>
  <c r="L167" s="1"/>
  <c r="F92"/>
  <c r="L92" s="1"/>
  <c r="F275"/>
  <c r="L275" s="1"/>
  <c r="F69"/>
  <c r="L69" s="1"/>
  <c r="F168"/>
  <c r="L168" s="1"/>
  <c r="F141"/>
  <c r="L141" s="1"/>
  <c r="F68"/>
  <c r="L68" s="1"/>
  <c r="F205"/>
  <c r="L205" s="1"/>
  <c r="F192"/>
  <c r="L192" s="1"/>
  <c r="F155"/>
  <c r="L155" s="1"/>
  <c r="F332"/>
  <c r="L332" s="1"/>
  <c r="F390"/>
  <c r="L390" s="1"/>
  <c r="F259"/>
  <c r="L259" s="1"/>
  <c r="F193"/>
  <c r="L193" s="1"/>
  <c r="F84"/>
  <c r="L84" s="1"/>
  <c r="F351"/>
  <c r="L351" s="1"/>
  <c r="F277"/>
  <c r="L277" s="1"/>
  <c r="F356"/>
  <c r="L356" s="1"/>
  <c r="F176"/>
  <c r="L176" s="1"/>
  <c r="F113"/>
  <c r="L113" s="1"/>
  <c r="F72"/>
  <c r="L72" s="1"/>
  <c r="F263"/>
  <c r="L263" s="1"/>
  <c r="F136"/>
  <c r="L136" s="1"/>
  <c r="F223"/>
  <c r="L223" s="1"/>
  <c r="F386"/>
  <c r="L386" s="1"/>
  <c r="F138"/>
  <c r="L138" s="1"/>
  <c r="F254"/>
  <c r="L254" s="1"/>
  <c r="F334"/>
  <c r="L334" s="1"/>
  <c r="F121"/>
  <c r="L121" s="1"/>
  <c r="F147"/>
  <c r="L147" s="1"/>
  <c r="I16"/>
  <c r="D10" i="2"/>
  <c r="E163" i="5" l="1"/>
  <c r="A163" s="1"/>
  <c r="F164"/>
  <c r="F105"/>
  <c r="E104"/>
  <c r="A104" s="1"/>
  <c r="N87" i="1"/>
  <c r="N83"/>
  <c r="N98" s="1"/>
  <c r="AN12" i="5"/>
  <c r="AN14" s="1"/>
  <c r="AQ14" s="1"/>
  <c r="AL14" s="1"/>
  <c r="Y39" i="15"/>
  <c r="N92" i="1"/>
  <c r="N94" s="1"/>
  <c r="AF11" i="5"/>
  <c r="N1" i="4"/>
  <c r="A66" i="1"/>
  <c r="A68" s="1"/>
  <c r="AP58" i="5"/>
  <c r="AP84" s="1"/>
  <c r="A86" i="1" s="1"/>
  <c r="AN48" i="5"/>
  <c r="AL57" s="1"/>
  <c r="AQ29" i="4"/>
  <c r="BG11"/>
  <c r="AG35"/>
  <c r="AJ64" i="5"/>
  <c r="AS30" i="4" s="1"/>
  <c r="BG9"/>
  <c r="AH67" i="5"/>
  <c r="AQ33" i="4" s="1"/>
  <c r="AC35"/>
  <c r="M17" i="1"/>
  <c r="M18"/>
  <c r="L16"/>
  <c r="C11" i="2"/>
  <c r="B12" s="1"/>
  <c r="L63" i="1"/>
  <c r="G43"/>
  <c r="AF43" i="14"/>
  <c r="AH43" i="12"/>
  <c r="AG42" i="13" s="1"/>
  <c r="AY80" i="5"/>
  <c r="A92" i="1" s="1"/>
  <c r="BK70" i="5"/>
  <c r="BK74" s="1"/>
  <c r="Q94" i="1"/>
  <c r="B11" i="2"/>
  <c r="E164" i="5" l="1"/>
  <c r="A164" s="1"/>
  <c r="F165"/>
  <c r="F106"/>
  <c r="E105"/>
  <c r="A105" s="1"/>
  <c r="N85" i="1"/>
  <c r="N88" s="1"/>
  <c r="O88" s="1"/>
  <c r="N93"/>
  <c r="N95" s="1"/>
  <c r="N96" s="1"/>
  <c r="AP81" i="5"/>
  <c r="A83" i="1" s="1"/>
  <c r="A69" s="1"/>
  <c r="G250" s="1"/>
  <c r="H250" s="1"/>
  <c r="AF15" i="5"/>
  <c r="AA7" s="1"/>
  <c r="AA8" s="1"/>
  <c r="AI9" s="1"/>
  <c r="AA9" s="1"/>
  <c r="AA10" s="1"/>
  <c r="AA11" s="1"/>
  <c r="AF13" s="1"/>
  <c r="G17" i="2"/>
  <c r="G18" s="1"/>
  <c r="H23" s="1"/>
  <c r="AI30" i="5" s="1"/>
  <c r="C12" i="2"/>
  <c r="B13" s="1"/>
  <c r="B14" s="1"/>
  <c r="J17" i="1"/>
  <c r="K17"/>
  <c r="N16"/>
  <c r="K16"/>
  <c r="D12" i="2"/>
  <c r="A13" s="1"/>
  <c r="A14" s="1"/>
  <c r="G23" s="1"/>
  <c r="F166" i="5" l="1"/>
  <c r="A165"/>
  <c r="A154"/>
  <c r="A155"/>
  <c r="A156"/>
  <c r="F107"/>
  <c r="E106"/>
  <c r="A106" s="1"/>
  <c r="AA49"/>
  <c r="AJ21" i="4" s="1"/>
  <c r="Z42" i="15" s="1"/>
  <c r="AB42" i="12" s="1"/>
  <c r="AA12" i="5"/>
  <c r="AA13" s="1"/>
  <c r="AA14" s="1"/>
  <c r="AG61" s="1"/>
  <c r="AP27" i="4" s="1"/>
  <c r="G182" i="1"/>
  <c r="H182" s="1"/>
  <c r="G357"/>
  <c r="H357" s="1"/>
  <c r="G78"/>
  <c r="H78" s="1"/>
  <c r="G171"/>
  <c r="H171" s="1"/>
  <c r="G375"/>
  <c r="H375" s="1"/>
  <c r="G158"/>
  <c r="H158" s="1"/>
  <c r="G190"/>
  <c r="H190" s="1"/>
  <c r="G201"/>
  <c r="H201" s="1"/>
  <c r="G223"/>
  <c r="H223" s="1"/>
  <c r="G226"/>
  <c r="H226" s="1"/>
  <c r="G143"/>
  <c r="H143" s="1"/>
  <c r="G330"/>
  <c r="H330" s="1"/>
  <c r="G84"/>
  <c r="H84" s="1"/>
  <c r="G134"/>
  <c r="H134" s="1"/>
  <c r="G298"/>
  <c r="H298" s="1"/>
  <c r="G355"/>
  <c r="H355" s="1"/>
  <c r="G415"/>
  <c r="H415" s="1"/>
  <c r="G372"/>
  <c r="H372" s="1"/>
  <c r="G419"/>
  <c r="H419" s="1"/>
  <c r="G117"/>
  <c r="H117" s="1"/>
  <c r="G214"/>
  <c r="H214" s="1"/>
  <c r="G336"/>
  <c r="H336" s="1"/>
  <c r="G295"/>
  <c r="H295" s="1"/>
  <c r="G313"/>
  <c r="H313" s="1"/>
  <c r="G98"/>
  <c r="H98" s="1"/>
  <c r="G380"/>
  <c r="H380" s="1"/>
  <c r="G178"/>
  <c r="H178" s="1"/>
  <c r="G194"/>
  <c r="H194" s="1"/>
  <c r="G264"/>
  <c r="H264" s="1"/>
  <c r="G66"/>
  <c r="H66" s="1"/>
  <c r="G80"/>
  <c r="H80" s="1"/>
  <c r="G192"/>
  <c r="H192" s="1"/>
  <c r="G217"/>
  <c r="H217" s="1"/>
  <c r="G155"/>
  <c r="H155" s="1"/>
  <c r="G248"/>
  <c r="H248" s="1"/>
  <c r="G388"/>
  <c r="H388" s="1"/>
  <c r="G220"/>
  <c r="H220" s="1"/>
  <c r="G413"/>
  <c r="H413" s="1"/>
  <c r="G378"/>
  <c r="H378" s="1"/>
  <c r="G249"/>
  <c r="H249" s="1"/>
  <c r="G160"/>
  <c r="H160" s="1"/>
  <c r="G299"/>
  <c r="H299" s="1"/>
  <c r="G268"/>
  <c r="H268" s="1"/>
  <c r="G294"/>
  <c r="H294" s="1"/>
  <c r="G256"/>
  <c r="H256" s="1"/>
  <c r="G218"/>
  <c r="H218" s="1"/>
  <c r="G340"/>
  <c r="H340" s="1"/>
  <c r="G114"/>
  <c r="H114" s="1"/>
  <c r="G317"/>
  <c r="H317" s="1"/>
  <c r="G359"/>
  <c r="H359" s="1"/>
  <c r="G282"/>
  <c r="H282" s="1"/>
  <c r="G427"/>
  <c r="H427" s="1"/>
  <c r="G144"/>
  <c r="H144" s="1"/>
  <c r="G300"/>
  <c r="H300" s="1"/>
  <c r="G266"/>
  <c r="H266" s="1"/>
  <c r="G408"/>
  <c r="H408" s="1"/>
  <c r="G404"/>
  <c r="H404" s="1"/>
  <c r="G397"/>
  <c r="H397" s="1"/>
  <c r="G179"/>
  <c r="H179" s="1"/>
  <c r="G139"/>
  <c r="H139" s="1"/>
  <c r="G396"/>
  <c r="H396" s="1"/>
  <c r="G102"/>
  <c r="H102" s="1"/>
  <c r="G339"/>
  <c r="H339" s="1"/>
  <c r="G312"/>
  <c r="H312" s="1"/>
  <c r="G306"/>
  <c r="H306" s="1"/>
  <c r="G240"/>
  <c r="H240" s="1"/>
  <c r="G120"/>
  <c r="H120" s="1"/>
  <c r="G156"/>
  <c r="H156" s="1"/>
  <c r="G166"/>
  <c r="H166" s="1"/>
  <c r="G242"/>
  <c r="H242" s="1"/>
  <c r="G189"/>
  <c r="H189" s="1"/>
  <c r="G228"/>
  <c r="H228" s="1"/>
  <c r="G108"/>
  <c r="H108" s="1"/>
  <c r="G424"/>
  <c r="H424" s="1"/>
  <c r="G183"/>
  <c r="H183" s="1"/>
  <c r="G151"/>
  <c r="H151" s="1"/>
  <c r="G369"/>
  <c r="H369" s="1"/>
  <c r="G385"/>
  <c r="H385" s="1"/>
  <c r="G124"/>
  <c r="H124" s="1"/>
  <c r="G146"/>
  <c r="H146" s="1"/>
  <c r="G402"/>
  <c r="H402" s="1"/>
  <c r="G174"/>
  <c r="H174" s="1"/>
  <c r="G68"/>
  <c r="H68" s="1"/>
  <c r="G271"/>
  <c r="H271" s="1"/>
  <c r="G253"/>
  <c r="H253" s="1"/>
  <c r="G153"/>
  <c r="H153" s="1"/>
  <c r="G318"/>
  <c r="H318" s="1"/>
  <c r="G254"/>
  <c r="H254" s="1"/>
  <c r="G386"/>
  <c r="H386" s="1"/>
  <c r="G195"/>
  <c r="H195" s="1"/>
  <c r="G148"/>
  <c r="H148" s="1"/>
  <c r="G163"/>
  <c r="H163" s="1"/>
  <c r="G167"/>
  <c r="H167" s="1"/>
  <c r="G349"/>
  <c r="H349" s="1"/>
  <c r="G135"/>
  <c r="H135" s="1"/>
  <c r="G225"/>
  <c r="H225" s="1"/>
  <c r="G323"/>
  <c r="H323" s="1"/>
  <c r="G343"/>
  <c r="H343" s="1"/>
  <c r="G314"/>
  <c r="H314" s="1"/>
  <c r="G72"/>
  <c r="H72" s="1"/>
  <c r="G319"/>
  <c r="H319" s="1"/>
  <c r="G238"/>
  <c r="H238" s="1"/>
  <c r="G133"/>
  <c r="H133" s="1"/>
  <c r="G335"/>
  <c r="H335" s="1"/>
  <c r="G74"/>
  <c r="H74" s="1"/>
  <c r="G180"/>
  <c r="H180" s="1"/>
  <c r="G293"/>
  <c r="H293" s="1"/>
  <c r="G187"/>
  <c r="H187" s="1"/>
  <c r="G309"/>
  <c r="H309" s="1"/>
  <c r="G401"/>
  <c r="H401" s="1"/>
  <c r="G76"/>
  <c r="H76" s="1"/>
  <c r="G67"/>
  <c r="H67" s="1"/>
  <c r="G367"/>
  <c r="H367" s="1"/>
  <c r="G203"/>
  <c r="H203" s="1"/>
  <c r="G221"/>
  <c r="H221" s="1"/>
  <c r="G75"/>
  <c r="H75" s="1"/>
  <c r="G147"/>
  <c r="H147" s="1"/>
  <c r="G181"/>
  <c r="H181" s="1"/>
  <c r="G348"/>
  <c r="H348" s="1"/>
  <c r="G132"/>
  <c r="H132" s="1"/>
  <c r="G420"/>
  <c r="H420" s="1"/>
  <c r="G101"/>
  <c r="H101" s="1"/>
  <c r="G332"/>
  <c r="H332" s="1"/>
  <c r="G83"/>
  <c r="H83" s="1"/>
  <c r="G325"/>
  <c r="H325" s="1"/>
  <c r="G142"/>
  <c r="H142" s="1"/>
  <c r="G209"/>
  <c r="H209" s="1"/>
  <c r="G361"/>
  <c r="H361" s="1"/>
  <c r="G405"/>
  <c r="H405" s="1"/>
  <c r="G241"/>
  <c r="H241" s="1"/>
  <c r="G324"/>
  <c r="H324" s="1"/>
  <c r="G291"/>
  <c r="H291" s="1"/>
  <c r="G382"/>
  <c r="H382" s="1"/>
  <c r="G360"/>
  <c r="H360" s="1"/>
  <c r="AX87" i="5"/>
  <c r="G252" i="1"/>
  <c r="H252" s="1"/>
  <c r="G162"/>
  <c r="H162" s="1"/>
  <c r="G320"/>
  <c r="H320" s="1"/>
  <c r="AI31" i="5"/>
  <c r="R84" i="1" s="1"/>
  <c r="G159"/>
  <c r="H159" s="1"/>
  <c r="G290"/>
  <c r="H290" s="1"/>
  <c r="G126"/>
  <c r="H126" s="1"/>
  <c r="G130"/>
  <c r="H130" s="1"/>
  <c r="G79"/>
  <c r="H79" s="1"/>
  <c r="G164"/>
  <c r="H164" s="1"/>
  <c r="G391"/>
  <c r="H391" s="1"/>
  <c r="G395"/>
  <c r="H395" s="1"/>
  <c r="G170"/>
  <c r="H170" s="1"/>
  <c r="G288"/>
  <c r="H288" s="1"/>
  <c r="G251"/>
  <c r="H251" s="1"/>
  <c r="G262"/>
  <c r="H262" s="1"/>
  <c r="G284"/>
  <c r="H284" s="1"/>
  <c r="G119"/>
  <c r="H119" s="1"/>
  <c r="G121"/>
  <c r="H121" s="1"/>
  <c r="G376"/>
  <c r="H376" s="1"/>
  <c r="G224"/>
  <c r="H224" s="1"/>
  <c r="G73"/>
  <c r="H73" s="1"/>
  <c r="G99"/>
  <c r="H99" s="1"/>
  <c r="G186"/>
  <c r="H186" s="1"/>
  <c r="G247"/>
  <c r="H247" s="1"/>
  <c r="G95"/>
  <c r="H95" s="1"/>
  <c r="G97"/>
  <c r="H97" s="1"/>
  <c r="G387"/>
  <c r="H387" s="1"/>
  <c r="G230"/>
  <c r="H230" s="1"/>
  <c r="G308"/>
  <c r="H308" s="1"/>
  <c r="G105"/>
  <c r="H105" s="1"/>
  <c r="G96"/>
  <c r="H96" s="1"/>
  <c r="G311"/>
  <c r="H311" s="1"/>
  <c r="G321"/>
  <c r="H321" s="1"/>
  <c r="G86"/>
  <c r="H86" s="1"/>
  <c r="G377"/>
  <c r="H377" s="1"/>
  <c r="G379"/>
  <c r="H379" s="1"/>
  <c r="G70"/>
  <c r="H70" s="1"/>
  <c r="G406"/>
  <c r="H406" s="1"/>
  <c r="G222"/>
  <c r="H222" s="1"/>
  <c r="G278"/>
  <c r="H278" s="1"/>
  <c r="G145"/>
  <c r="H145" s="1"/>
  <c r="G285"/>
  <c r="H285" s="1"/>
  <c r="G65"/>
  <c r="H65" s="1"/>
  <c r="G172"/>
  <c r="H172" s="1"/>
  <c r="G315"/>
  <c r="H315" s="1"/>
  <c r="G281"/>
  <c r="H281" s="1"/>
  <c r="G301"/>
  <c r="H301" s="1"/>
  <c r="G346"/>
  <c r="H346" s="1"/>
  <c r="G416"/>
  <c r="H416" s="1"/>
  <c r="G334"/>
  <c r="H334" s="1"/>
  <c r="G87"/>
  <c r="H87" s="1"/>
  <c r="G81"/>
  <c r="H81" s="1"/>
  <c r="G112"/>
  <c r="H112" s="1"/>
  <c r="G64"/>
  <c r="H64" s="1"/>
  <c r="G199"/>
  <c r="H199" s="1"/>
  <c r="G245"/>
  <c r="G154"/>
  <c r="G219"/>
  <c r="H219" s="1"/>
  <c r="G204"/>
  <c r="H204" s="1"/>
  <c r="G411"/>
  <c r="H411" s="1"/>
  <c r="G259"/>
  <c r="H259" s="1"/>
  <c r="G149"/>
  <c r="H149" s="1"/>
  <c r="G243"/>
  <c r="H243" s="1"/>
  <c r="G303"/>
  <c r="H303" s="1"/>
  <c r="G213"/>
  <c r="H213" s="1"/>
  <c r="G410"/>
  <c r="H410" s="1"/>
  <c r="G165"/>
  <c r="H165" s="1"/>
  <c r="G287"/>
  <c r="H287" s="1"/>
  <c r="G296"/>
  <c r="H296" s="1"/>
  <c r="G374"/>
  <c r="H374" s="1"/>
  <c r="G371"/>
  <c r="H371" s="1"/>
  <c r="G236"/>
  <c r="H236" s="1"/>
  <c r="G229"/>
  <c r="H229" s="1"/>
  <c r="G423"/>
  <c r="H423" s="1"/>
  <c r="G85"/>
  <c r="H85" s="1"/>
  <c r="G90"/>
  <c r="H90" s="1"/>
  <c r="G191"/>
  <c r="H191" s="1"/>
  <c r="G175"/>
  <c r="H175" s="1"/>
  <c r="G353"/>
  <c r="H353" s="1"/>
  <c r="G370"/>
  <c r="H370" s="1"/>
  <c r="G150"/>
  <c r="H150" s="1"/>
  <c r="G161"/>
  <c r="H161" s="1"/>
  <c r="G211"/>
  <c r="H211" s="1"/>
  <c r="G94"/>
  <c r="G109"/>
  <c r="H109" s="1"/>
  <c r="G176"/>
  <c r="H176" s="1"/>
  <c r="G279"/>
  <c r="H279" s="1"/>
  <c r="G215"/>
  <c r="O21" i="4" s="1"/>
  <c r="G274" i="1"/>
  <c r="H274" s="1"/>
  <c r="G292"/>
  <c r="H292" s="1"/>
  <c r="G205"/>
  <c r="H205" s="1"/>
  <c r="G337"/>
  <c r="G344"/>
  <c r="H344" s="1"/>
  <c r="G412"/>
  <c r="H412" s="1"/>
  <c r="G261"/>
  <c r="H261" s="1"/>
  <c r="G197"/>
  <c r="H197" s="1"/>
  <c r="G302"/>
  <c r="H302" s="1"/>
  <c r="G196"/>
  <c r="H196" s="1"/>
  <c r="G216"/>
  <c r="H216" s="1"/>
  <c r="G93"/>
  <c r="H93" s="1"/>
  <c r="G364"/>
  <c r="H364" s="1"/>
  <c r="G128"/>
  <c r="H128" s="1"/>
  <c r="G207"/>
  <c r="H207" s="1"/>
  <c r="G208"/>
  <c r="H208" s="1"/>
  <c r="G304"/>
  <c r="H304" s="1"/>
  <c r="G234"/>
  <c r="H234" s="1"/>
  <c r="G305"/>
  <c r="H305" s="1"/>
  <c r="G233"/>
  <c r="H233" s="1"/>
  <c r="G258"/>
  <c r="H258" s="1"/>
  <c r="G125"/>
  <c r="H125" s="1"/>
  <c r="G327"/>
  <c r="H327" s="1"/>
  <c r="G283"/>
  <c r="H283" s="1"/>
  <c r="G297"/>
  <c r="H297" s="1"/>
  <c r="G91"/>
  <c r="H91" s="1"/>
  <c r="G373"/>
  <c r="H373" s="1"/>
  <c r="G198"/>
  <c r="H198" s="1"/>
  <c r="G206"/>
  <c r="H206" s="1"/>
  <c r="G71"/>
  <c r="H71" s="1"/>
  <c r="G409"/>
  <c r="H409" s="1"/>
  <c r="G341"/>
  <c r="H341" s="1"/>
  <c r="G322"/>
  <c r="H322" s="1"/>
  <c r="G115"/>
  <c r="H115" s="1"/>
  <c r="G356"/>
  <c r="H356" s="1"/>
  <c r="G407"/>
  <c r="H407" s="1"/>
  <c r="G347"/>
  <c r="H347" s="1"/>
  <c r="G140"/>
  <c r="H140" s="1"/>
  <c r="G326"/>
  <c r="H326" s="1"/>
  <c r="G168"/>
  <c r="H168" s="1"/>
  <c r="G414"/>
  <c r="H414" s="1"/>
  <c r="G184"/>
  <c r="G383"/>
  <c r="H383" s="1"/>
  <c r="G185"/>
  <c r="H185" s="1"/>
  <c r="G255"/>
  <c r="H255" s="1"/>
  <c r="G289"/>
  <c r="H289" s="1"/>
  <c r="G188"/>
  <c r="H188" s="1"/>
  <c r="G428"/>
  <c r="G351"/>
  <c r="H351" s="1"/>
  <c r="G307"/>
  <c r="G63"/>
  <c r="G310"/>
  <c r="H310" s="1"/>
  <c r="G267"/>
  <c r="H267" s="1"/>
  <c r="G363"/>
  <c r="H363" s="1"/>
  <c r="G394"/>
  <c r="H394" s="1"/>
  <c r="G136"/>
  <c r="H136" s="1"/>
  <c r="G342"/>
  <c r="H342" s="1"/>
  <c r="G231"/>
  <c r="H231" s="1"/>
  <c r="G260"/>
  <c r="H260" s="1"/>
  <c r="G316"/>
  <c r="H316" s="1"/>
  <c r="G329"/>
  <c r="H329" s="1"/>
  <c r="G107"/>
  <c r="H107" s="1"/>
  <c r="G100"/>
  <c r="H100" s="1"/>
  <c r="G275"/>
  <c r="H275" s="1"/>
  <c r="G400"/>
  <c r="H400" s="1"/>
  <c r="G399"/>
  <c r="H399" s="1"/>
  <c r="G418"/>
  <c r="H418" s="1"/>
  <c r="G129"/>
  <c r="H129" s="1"/>
  <c r="G389"/>
  <c r="H389" s="1"/>
  <c r="G276"/>
  <c r="G169"/>
  <c r="H169" s="1"/>
  <c r="G417"/>
  <c r="H417" s="1"/>
  <c r="G277"/>
  <c r="H277" s="1"/>
  <c r="G202"/>
  <c r="H202" s="1"/>
  <c r="G393"/>
  <c r="H393" s="1"/>
  <c r="G425"/>
  <c r="H425" s="1"/>
  <c r="G338"/>
  <c r="H338" s="1"/>
  <c r="G89"/>
  <c r="H89" s="1"/>
  <c r="G232"/>
  <c r="H232" s="1"/>
  <c r="G106"/>
  <c r="H106" s="1"/>
  <c r="G403"/>
  <c r="H403" s="1"/>
  <c r="G398"/>
  <c r="G123"/>
  <c r="G113"/>
  <c r="H113" s="1"/>
  <c r="G390"/>
  <c r="H390" s="1"/>
  <c r="G269"/>
  <c r="H269" s="1"/>
  <c r="G426"/>
  <c r="H426" s="1"/>
  <c r="G280"/>
  <c r="H280" s="1"/>
  <c r="G422"/>
  <c r="H422" s="1"/>
  <c r="G362"/>
  <c r="H362" s="1"/>
  <c r="G111"/>
  <c r="H111" s="1"/>
  <c r="G273"/>
  <c r="H273" s="1"/>
  <c r="G77"/>
  <c r="H77" s="1"/>
  <c r="G331"/>
  <c r="H331" s="1"/>
  <c r="G246"/>
  <c r="G235"/>
  <c r="H235" s="1"/>
  <c r="G365"/>
  <c r="H365" s="1"/>
  <c r="G392"/>
  <c r="H392" s="1"/>
  <c r="G131"/>
  <c r="H131" s="1"/>
  <c r="G333"/>
  <c r="H333" s="1"/>
  <c r="G127"/>
  <c r="H127" s="1"/>
  <c r="G177"/>
  <c r="H177" s="1"/>
  <c r="I36"/>
  <c r="G366"/>
  <c r="H366" s="1"/>
  <c r="G270"/>
  <c r="H270" s="1"/>
  <c r="G82"/>
  <c r="H82" s="1"/>
  <c r="G157"/>
  <c r="H157" s="1"/>
  <c r="G263"/>
  <c r="H263" s="1"/>
  <c r="G265"/>
  <c r="H265" s="1"/>
  <c r="G286"/>
  <c r="H286" s="1"/>
  <c r="G103"/>
  <c r="H103" s="1"/>
  <c r="G239"/>
  <c r="H239" s="1"/>
  <c r="G237"/>
  <c r="H237" s="1"/>
  <c r="G210"/>
  <c r="H210" s="1"/>
  <c r="G88"/>
  <c r="H88" s="1"/>
  <c r="G384"/>
  <c r="H384" s="1"/>
  <c r="G354"/>
  <c r="H354" s="1"/>
  <c r="H11" i="4"/>
  <c r="AA8" i="16" s="1"/>
  <c r="G381" i="1"/>
  <c r="H381" s="1"/>
  <c r="G137"/>
  <c r="H137" s="1"/>
  <c r="G227"/>
  <c r="H227" s="1"/>
  <c r="G110"/>
  <c r="H110" s="1"/>
  <c r="G358"/>
  <c r="H358" s="1"/>
  <c r="G193"/>
  <c r="H193" s="1"/>
  <c r="G200"/>
  <c r="H200" s="1"/>
  <c r="G328"/>
  <c r="H328" s="1"/>
  <c r="G152"/>
  <c r="H152" s="1"/>
  <c r="G173"/>
  <c r="H173" s="1"/>
  <c r="G345"/>
  <c r="H345" s="1"/>
  <c r="G69"/>
  <c r="H69" s="1"/>
  <c r="G104"/>
  <c r="H104" s="1"/>
  <c r="G212"/>
  <c r="H212" s="1"/>
  <c r="G368"/>
  <c r="G141"/>
  <c r="H141" s="1"/>
  <c r="G116"/>
  <c r="H116" s="1"/>
  <c r="G350"/>
  <c r="H350" s="1"/>
  <c r="G138"/>
  <c r="H138" s="1"/>
  <c r="G421"/>
  <c r="H421" s="1"/>
  <c r="G92"/>
  <c r="H92" s="1"/>
  <c r="G257"/>
  <c r="H257" s="1"/>
  <c r="G244"/>
  <c r="H244" s="1"/>
  <c r="G272"/>
  <c r="H272" s="1"/>
  <c r="G352"/>
  <c r="H352" s="1"/>
  <c r="G118"/>
  <c r="H118" s="1"/>
  <c r="J20"/>
  <c r="N97"/>
  <c r="N99" s="1"/>
  <c r="N100" s="1"/>
  <c r="O94" s="1"/>
  <c r="J19"/>
  <c r="F122" s="1"/>
  <c r="L122" s="1"/>
  <c r="AH31" i="5"/>
  <c r="Q84" i="1" s="1"/>
  <c r="AH30" i="5"/>
  <c r="R83" i="1"/>
  <c r="AI32" i="5"/>
  <c r="AA15" l="1"/>
  <c r="AA16" s="1"/>
  <c r="AA17" s="1"/>
  <c r="AA18" s="1"/>
  <c r="F167"/>
  <c r="A166"/>
  <c r="F108"/>
  <c r="E107"/>
  <c r="A107" s="1"/>
  <c r="Z42" i="14"/>
  <c r="Q63" i="1"/>
  <c r="AL33" i="17" s="1"/>
  <c r="H215" i="1"/>
  <c r="R73"/>
  <c r="AI33" i="7" s="1"/>
  <c r="Q70" i="1"/>
  <c r="AL33" i="10" s="1"/>
  <c r="N63" i="1"/>
  <c r="O63" s="1"/>
  <c r="AF33" i="17" s="1"/>
  <c r="N68" i="1"/>
  <c r="O68" s="1"/>
  <c r="AF33" i="13" s="1"/>
  <c r="R68" i="1"/>
  <c r="AI33" i="13" s="1"/>
  <c r="R63" i="1"/>
  <c r="AI33" i="17" s="1"/>
  <c r="P73" i="1"/>
  <c r="AO33" i="7" s="1"/>
  <c r="N69" i="1"/>
  <c r="O69" s="1"/>
  <c r="AF33" i="11" s="1"/>
  <c r="P72" i="1"/>
  <c r="AO33" i="8" s="1"/>
  <c r="Q73" i="1"/>
  <c r="AL33" i="7" s="1"/>
  <c r="N66" i="1"/>
  <c r="N71"/>
  <c r="I30" i="4" s="1"/>
  <c r="P67" i="1"/>
  <c r="AO33" i="12" s="1"/>
  <c r="N70" i="1"/>
  <c r="O70" s="1"/>
  <c r="R74"/>
  <c r="AI33" i="6" s="1"/>
  <c r="N67" i="1"/>
  <c r="O67" s="1"/>
  <c r="AG33" i="12" s="1"/>
  <c r="R66" i="1"/>
  <c r="AI33" i="14" s="1"/>
  <c r="P66" i="1"/>
  <c r="AP33" i="14" s="1"/>
  <c r="P70" i="1"/>
  <c r="AO33" i="10" s="1"/>
  <c r="N72" i="1"/>
  <c r="Q30" i="4" s="1"/>
  <c r="Q65" i="1"/>
  <c r="AL33" i="15" s="1"/>
  <c r="P65" i="1"/>
  <c r="AO33" i="15" s="1"/>
  <c r="Q72" i="1"/>
  <c r="AL33" i="8" s="1"/>
  <c r="Q69" i="1"/>
  <c r="AL33" i="11" s="1"/>
  <c r="H245" i="1"/>
  <c r="W21" i="4"/>
  <c r="H154" i="1"/>
  <c r="AE12" i="4"/>
  <c r="R70" i="1"/>
  <c r="AI33" i="10" s="1"/>
  <c r="N73" i="1"/>
  <c r="P71"/>
  <c r="AO33" i="9" s="1"/>
  <c r="R67" i="1"/>
  <c r="AI33" i="12" s="1"/>
  <c r="Q66" i="1"/>
  <c r="AL33" i="14" s="1"/>
  <c r="R71" i="1"/>
  <c r="AI33" i="9" s="1"/>
  <c r="P68" i="1"/>
  <c r="AO33" i="13" s="1"/>
  <c r="Q68" i="1"/>
  <c r="AL33" i="13" s="1"/>
  <c r="P74" i="1"/>
  <c r="AO33" i="6" s="1"/>
  <c r="Q71" i="1"/>
  <c r="AL33" i="9" s="1"/>
  <c r="R65" i="1"/>
  <c r="AI33" i="15" s="1"/>
  <c r="Q74" i="1"/>
  <c r="AL33" i="6" s="1"/>
  <c r="N65" i="1"/>
  <c r="R72"/>
  <c r="AI33" i="8" s="1"/>
  <c r="N74" i="1"/>
  <c r="O30" i="4"/>
  <c r="H337" i="1"/>
  <c r="H94"/>
  <c r="O12" i="4"/>
  <c r="W30"/>
  <c r="H368" i="1"/>
  <c r="AE30" i="4"/>
  <c r="H398" i="1"/>
  <c r="H276"/>
  <c r="AE21" i="4"/>
  <c r="G30"/>
  <c r="H307" i="1"/>
  <c r="Q67"/>
  <c r="AL33" i="12" s="1"/>
  <c r="G21" i="4"/>
  <c r="H184" i="1"/>
  <c r="I37"/>
  <c r="AA146" i="4" s="1"/>
  <c r="E39" i="1"/>
  <c r="F39" s="1"/>
  <c r="H246"/>
  <c r="P69"/>
  <c r="AO33" i="11" s="1"/>
  <c r="R69" i="1"/>
  <c r="AI33" i="11" s="1"/>
  <c r="H123" i="1"/>
  <c r="W12" i="4"/>
  <c r="G12"/>
  <c r="H63" i="1"/>
  <c r="P63"/>
  <c r="AP33" i="17" s="1"/>
  <c r="H428" i="1"/>
  <c r="AE31" i="4"/>
  <c r="G122" i="1"/>
  <c r="H122" s="1"/>
  <c r="N103"/>
  <c r="O103" s="1"/>
  <c r="S93" s="1"/>
  <c r="A102" s="1"/>
  <c r="Q83"/>
  <c r="S82" s="1"/>
  <c r="S83" s="1"/>
  <c r="A106" s="1"/>
  <c r="BE87" i="5" s="1"/>
  <c r="AK30"/>
  <c r="AK31" s="1"/>
  <c r="Q93" i="1"/>
  <c r="R93"/>
  <c r="R85"/>
  <c r="AK37" i="5"/>
  <c r="AK36"/>
  <c r="AA34"/>
  <c r="L49" i="1" l="1"/>
  <c r="AC11" i="4" s="1"/>
  <c r="O49" i="1"/>
  <c r="AG11" i="4" s="1"/>
  <c r="L48" i="1"/>
  <c r="F168" i="5"/>
  <c r="A167"/>
  <c r="F109"/>
  <c r="E108"/>
  <c r="A108" s="1"/>
  <c r="Y21" i="4"/>
  <c r="Q21"/>
  <c r="R64" i="1"/>
  <c r="AI33" i="16" s="1"/>
  <c r="AG21" i="4"/>
  <c r="I21"/>
  <c r="O71" i="1"/>
  <c r="AF33" i="9" s="1"/>
  <c r="AG33" i="10"/>
  <c r="I12" i="4"/>
  <c r="I146" s="1"/>
  <c r="O147" s="1"/>
  <c r="AH147" s="1"/>
  <c r="O72" i="1"/>
  <c r="AF33" i="8" s="1"/>
  <c r="AG30" i="4"/>
  <c r="O74" i="1"/>
  <c r="AF33" i="6" s="1"/>
  <c r="Y30" i="4"/>
  <c r="O73" i="1"/>
  <c r="AF33" i="7" s="1"/>
  <c r="P64" i="1"/>
  <c r="AO33" i="16" s="1"/>
  <c r="G39" i="1"/>
  <c r="F40"/>
  <c r="N64"/>
  <c r="Q12" i="4" s="1"/>
  <c r="N146"/>
  <c r="G146"/>
  <c r="Q64" i="1"/>
  <c r="AL33" i="16" s="1"/>
  <c r="Q96" i="1"/>
  <c r="Q95" s="1"/>
  <c r="A101" s="1"/>
  <c r="A96" s="1"/>
  <c r="AB32" i="5"/>
  <c r="AH35"/>
  <c r="AA32"/>
  <c r="AD34"/>
  <c r="AE34" s="1"/>
  <c r="AA39" i="15"/>
  <c r="AA43" i="5"/>
  <c r="AA37"/>
  <c r="AA46"/>
  <c r="AB47" s="1"/>
  <c r="AA54"/>
  <c r="Q56"/>
  <c r="AA40"/>
  <c r="T84" i="1"/>
  <c r="AL31" i="5"/>
  <c r="AL30"/>
  <c r="T83" i="1"/>
  <c r="BD87" i="5"/>
  <c r="BC87" s="1"/>
  <c r="BI87"/>
  <c r="BJ87" s="1"/>
  <c r="BF87"/>
  <c r="BG87" s="1"/>
  <c r="AJ37"/>
  <c r="AJ2" i="4"/>
  <c r="AL37" i="5"/>
  <c r="AJ36"/>
  <c r="AJ1" i="4"/>
  <c r="O66" i="1"/>
  <c r="BF2" i="4"/>
  <c r="O65" i="1"/>
  <c r="O48" s="1"/>
  <c r="Y11" i="4" s="1"/>
  <c r="AK8" i="16" l="1"/>
  <c r="V34" i="15" s="1"/>
  <c r="U11" i="4"/>
  <c r="AK8" i="15"/>
  <c r="V31" i="14"/>
  <c r="AA47" i="5"/>
  <c r="F143"/>
  <c r="F142" s="1"/>
  <c r="L53"/>
  <c r="P53" s="1"/>
  <c r="C53" s="1"/>
  <c r="F169"/>
  <c r="A168"/>
  <c r="F110"/>
  <c r="F116"/>
  <c r="E109"/>
  <c r="A109" s="1"/>
  <c r="O64" i="1"/>
  <c r="AF33" i="16" s="1"/>
  <c r="AG12" i="4"/>
  <c r="AF33" i="14"/>
  <c r="AL35" i="5"/>
  <c r="AL36" s="1"/>
  <c r="AK1" i="4" s="1"/>
  <c r="AJ38" i="16" s="1"/>
  <c r="AK2" i="4"/>
  <c r="AJ39" i="16" s="1"/>
  <c r="U84" i="1"/>
  <c r="AM31" i="5"/>
  <c r="AA55"/>
  <c r="AD55" s="1"/>
  <c r="AE55" s="1"/>
  <c r="AD54"/>
  <c r="AE54" s="1"/>
  <c r="I36" i="15"/>
  <c r="AB35"/>
  <c r="AA39" i="14"/>
  <c r="AE35" i="15"/>
  <c r="T37" s="1"/>
  <c r="O36"/>
  <c r="O35"/>
  <c r="N37" i="16" s="1"/>
  <c r="AM30" i="5"/>
  <c r="V83" i="1" s="1"/>
  <c r="U83"/>
  <c r="S52" i="5"/>
  <c r="R57"/>
  <c r="H59"/>
  <c r="G33" i="4"/>
  <c r="T37" i="16" s="1"/>
  <c r="AD43" i="5"/>
  <c r="AE43" s="1"/>
  <c r="AA44"/>
  <c r="AB44"/>
  <c r="Y12" i="4"/>
  <c r="AF33" i="15"/>
  <c r="AD40" i="5"/>
  <c r="AE40" s="1"/>
  <c r="AB41"/>
  <c r="AC41"/>
  <c r="AK4" i="4" s="1"/>
  <c r="C59" i="5"/>
  <c r="L33" i="4" s="1"/>
  <c r="K32" s="1"/>
  <c r="H56" i="5"/>
  <c r="L56" s="1"/>
  <c r="AD37"/>
  <c r="AE37"/>
  <c r="AA38"/>
  <c r="AC32"/>
  <c r="AD32"/>
  <c r="AI1" i="4"/>
  <c r="AI38" i="16"/>
  <c r="AI2" i="4"/>
  <c r="AI39" i="16"/>
  <c r="AD46" i="5"/>
  <c r="AE46" s="1"/>
  <c r="C56"/>
  <c r="B55" s="1"/>
  <c r="BF1" i="4"/>
  <c r="U36" i="17" l="1"/>
  <c r="Y35" i="15"/>
  <c r="R35" i="14" s="1"/>
  <c r="R36" i="12" s="1"/>
  <c r="A143" i="5"/>
  <c r="F144"/>
  <c r="A144" s="1"/>
  <c r="A142"/>
  <c r="F141"/>
  <c r="F170"/>
  <c r="A169"/>
  <c r="F111"/>
  <c r="E110"/>
  <c r="A110" s="1"/>
  <c r="C35" i="4"/>
  <c r="B37" i="17" s="1"/>
  <c r="F138" i="5"/>
  <c r="F117"/>
  <c r="A116"/>
  <c r="N38" i="15"/>
  <c r="F53" i="5"/>
  <c r="AJ42"/>
  <c r="AJ43" s="1"/>
  <c r="B52"/>
  <c r="AA29"/>
  <c r="AJ8" i="4"/>
  <c r="BA87" i="5"/>
  <c r="BB87" s="1"/>
  <c r="AZ87" s="1"/>
  <c r="D54"/>
  <c r="AB30" s="1"/>
  <c r="C33" i="4"/>
  <c r="B32" s="1"/>
  <c r="R36" i="17" s="1"/>
  <c r="V84" i="1"/>
  <c r="AL33" i="5"/>
  <c r="AD39" i="7"/>
  <c r="AD39" i="9"/>
  <c r="AD39" i="11"/>
  <c r="AD39" i="14"/>
  <c r="AD39" i="13"/>
  <c r="AD39" i="8"/>
  <c r="AD39" i="12"/>
  <c r="AD39" i="15"/>
  <c r="AD38" i="5"/>
  <c r="AE38"/>
  <c r="AD38" i="13"/>
  <c r="AD38" i="9"/>
  <c r="AD38" i="11"/>
  <c r="AD38" i="12"/>
  <c r="AD38" i="14"/>
  <c r="AD38" i="8"/>
  <c r="AD38" i="7"/>
  <c r="AD38" i="15"/>
  <c r="U38" i="7"/>
  <c r="AB58" i="5"/>
  <c r="U38" i="12"/>
  <c r="U38" i="9"/>
  <c r="U38" i="8"/>
  <c r="U38" i="11"/>
  <c r="P33" i="4"/>
  <c r="U38" i="13"/>
  <c r="AJ14" i="4"/>
  <c r="R59" i="5"/>
  <c r="Q65" s="1"/>
  <c r="S62"/>
  <c r="B36" i="14"/>
  <c r="AB35"/>
  <c r="Y35"/>
  <c r="H36"/>
  <c r="T35"/>
  <c r="H35"/>
  <c r="U36" i="12" s="1"/>
  <c r="AE38" i="14"/>
  <c r="AE38" i="15"/>
  <c r="AE38" i="11"/>
  <c r="AE38" i="12"/>
  <c r="AE38" i="9"/>
  <c r="AE38" i="8"/>
  <c r="AE38" i="13"/>
  <c r="AE38" i="7"/>
  <c r="AF37" i="5"/>
  <c r="AG37"/>
  <c r="B59"/>
  <c r="AJ4" i="4"/>
  <c r="M38" i="15" s="1"/>
  <c r="AE44" i="5"/>
  <c r="AF44"/>
  <c r="X33" i="4"/>
  <c r="Y32"/>
  <c r="M43" i="12"/>
  <c r="F32" i="4"/>
  <c r="BD4"/>
  <c r="AM2"/>
  <c r="AE39" i="9"/>
  <c r="AE39" i="14"/>
  <c r="AE39" i="8"/>
  <c r="AE39" i="15"/>
  <c r="AE39" i="12"/>
  <c r="S65" i="5" l="1"/>
  <c r="I61" s="1"/>
  <c r="T60"/>
  <c r="AJ31" i="4"/>
  <c r="R46" i="13" s="1"/>
  <c r="P32" i="4"/>
  <c r="B34"/>
  <c r="T35" i="15"/>
  <c r="T36" s="1"/>
  <c r="M35" i="14"/>
  <c r="M36" s="1"/>
  <c r="B37" i="16"/>
  <c r="B37" i="15"/>
  <c r="B40" s="1"/>
  <c r="B39" s="1"/>
  <c r="AO11" i="4"/>
  <c r="AO13" s="1"/>
  <c r="B37" i="14"/>
  <c r="F145" i="5"/>
  <c r="A145" s="1"/>
  <c r="A117"/>
  <c r="F118"/>
  <c r="F112"/>
  <c r="E111"/>
  <c r="A111" s="1"/>
  <c r="F140"/>
  <c r="A140" s="1"/>
  <c r="D70"/>
  <c r="A141"/>
  <c r="F171"/>
  <c r="A170"/>
  <c r="A138"/>
  <c r="D84"/>
  <c r="AJ5" i="4"/>
  <c r="M39" i="15" s="1"/>
  <c r="N39" i="8" s="1"/>
  <c r="AJ7" i="4"/>
  <c r="M41" i="15" s="1"/>
  <c r="X44" i="16" s="1"/>
  <c r="N36" i="12"/>
  <c r="R35"/>
  <c r="U35"/>
  <c r="Q62" i="5"/>
  <c r="U63"/>
  <c r="V63" s="1"/>
  <c r="AI31" i="4" s="1"/>
  <c r="S32"/>
  <c r="U32" s="1"/>
  <c r="T36" i="14" s="1"/>
  <c r="BH87" i="5"/>
  <c r="BK87" s="1"/>
  <c r="BL87" s="1"/>
  <c r="U62"/>
  <c r="V62" s="1"/>
  <c r="AI30" i="4" s="1"/>
  <c r="AL42" i="12"/>
  <c r="AL43" s="1"/>
  <c r="N35" s="1"/>
  <c r="U39"/>
  <c r="I36" s="1"/>
  <c r="V39"/>
  <c r="S39" i="16"/>
  <c r="B36" s="1"/>
  <c r="T38" i="15"/>
  <c r="AJ9" i="4"/>
  <c r="AK9"/>
  <c r="AJ6"/>
  <c r="M40" i="15" s="1"/>
  <c r="U86" i="1"/>
  <c r="AC7" i="5"/>
  <c r="U39" i="13"/>
  <c r="V39"/>
  <c r="T38" i="14"/>
  <c r="AK15" i="4"/>
  <c r="AJ15"/>
  <c r="T39" i="14" s="1"/>
  <c r="V39" i="8"/>
  <c r="U39"/>
  <c r="V39" i="7"/>
  <c r="U39"/>
  <c r="AG38" i="5"/>
  <c r="AF38"/>
  <c r="U39" i="9"/>
  <c r="V39"/>
  <c r="AM3" i="4"/>
  <c r="AL39" i="16"/>
  <c r="M3" i="4"/>
  <c r="AN3"/>
  <c r="AM5"/>
  <c r="AM7"/>
  <c r="N38" i="14"/>
  <c r="N38" i="8"/>
  <c r="N38" i="13"/>
  <c r="N38" i="9"/>
  <c r="X41" i="16"/>
  <c r="N38" i="11"/>
  <c r="N38" i="7"/>
  <c r="N38" i="12"/>
  <c r="I35" s="1"/>
  <c r="G34" i="4"/>
  <c r="AJ34" s="1"/>
  <c r="K43" i="13"/>
  <c r="V60" i="5"/>
  <c r="W60" s="1"/>
  <c r="AM32" i="4" s="1"/>
  <c r="L47" i="13" s="1"/>
  <c r="B36" s="1"/>
  <c r="Q59" i="5"/>
  <c r="V59"/>
  <c r="W59" s="1"/>
  <c r="U39" i="11"/>
  <c r="V39"/>
  <c r="AB59" i="5"/>
  <c r="AA58"/>
  <c r="AC30"/>
  <c r="AC29"/>
  <c r="O38" i="14"/>
  <c r="O38" i="11"/>
  <c r="O38" i="9"/>
  <c r="O38" i="8"/>
  <c r="Y41" i="16"/>
  <c r="O38" i="7"/>
  <c r="O38" i="13"/>
  <c r="O38" i="12"/>
  <c r="C39" i="15" l="1"/>
  <c r="C39" i="14" s="1"/>
  <c r="I37" i="12"/>
  <c r="B35" i="11"/>
  <c r="F34" i="4"/>
  <c r="W36" i="14" s="1"/>
  <c r="X47" i="12"/>
  <c r="X48" s="1"/>
  <c r="AO12" i="4"/>
  <c r="AP13" s="1"/>
  <c r="R46" i="14"/>
  <c r="AI42" i="15" s="1"/>
  <c r="AI43" s="1"/>
  <c r="AD47" i="11"/>
  <c r="AM31" i="4"/>
  <c r="L46" i="13" s="1"/>
  <c r="S43" i="12"/>
  <c r="B40" i="14"/>
  <c r="B40" i="16"/>
  <c r="B40" i="17" s="1"/>
  <c r="F146" i="5"/>
  <c r="F147" s="1"/>
  <c r="A84"/>
  <c r="B84"/>
  <c r="B70"/>
  <c r="D81"/>
  <c r="D82"/>
  <c r="A70"/>
  <c r="F119"/>
  <c r="A118"/>
  <c r="F113"/>
  <c r="E112"/>
  <c r="A112" s="1"/>
  <c r="F172"/>
  <c r="A171"/>
  <c r="N41" i="8"/>
  <c r="N39" i="7"/>
  <c r="N39" i="14"/>
  <c r="N39" i="9"/>
  <c r="X42" i="16"/>
  <c r="N39" i="12"/>
  <c r="N39" i="13"/>
  <c r="N39" i="11"/>
  <c r="N41" i="14"/>
  <c r="N41" i="9"/>
  <c r="N41" i="12"/>
  <c r="N41" i="11"/>
  <c r="N41" i="7"/>
  <c r="N41" i="13"/>
  <c r="AD58" i="5"/>
  <c r="R43" i="14" s="1"/>
  <c r="AC58" i="5"/>
  <c r="U40" i="9"/>
  <c r="U41"/>
  <c r="AJ10" i="4"/>
  <c r="T40" i="16"/>
  <c r="AJ11" i="4"/>
  <c r="U39" i="15"/>
  <c r="H39" i="14" s="1"/>
  <c r="Q46" i="13"/>
  <c r="Q46" i="14"/>
  <c r="AH42" i="15" s="1"/>
  <c r="AC47" i="11"/>
  <c r="W47" i="12"/>
  <c r="AL5" i="4"/>
  <c r="AN5"/>
  <c r="U40" i="8"/>
  <c r="U41"/>
  <c r="U40" i="13"/>
  <c r="U41"/>
  <c r="N40" i="9"/>
  <c r="N40" i="12"/>
  <c r="X43" i="16"/>
  <c r="N40" i="13"/>
  <c r="N40" i="7"/>
  <c r="N40" i="14"/>
  <c r="N40" i="11"/>
  <c r="N40" i="8"/>
  <c r="AD44" i="11"/>
  <c r="R44" i="13"/>
  <c r="G35" s="1"/>
  <c r="AB48" i="12"/>
  <c r="V47" i="14"/>
  <c r="AM43" i="15" s="1"/>
  <c r="AL6" i="4"/>
  <c r="AN6"/>
  <c r="AG39" i="11"/>
  <c r="AG39" i="12"/>
  <c r="AG39" i="8"/>
  <c r="AG39" i="15"/>
  <c r="AG39" i="14"/>
  <c r="AG39" i="7"/>
  <c r="AG39" i="13"/>
  <c r="AG39" i="9"/>
  <c r="G38" i="14"/>
  <c r="B36" i="15"/>
  <c r="B35" s="1"/>
  <c r="B35" i="16" s="1"/>
  <c r="B39" i="14"/>
  <c r="B39" i="16"/>
  <c r="B39" i="17" s="1"/>
  <c r="U40" i="12"/>
  <c r="U41"/>
  <c r="AD30" i="5"/>
  <c r="AE28"/>
  <c r="AD29"/>
  <c r="U41" i="11"/>
  <c r="U40"/>
  <c r="U41" i="7"/>
  <c r="U40"/>
  <c r="U39" i="14"/>
  <c r="AJ17" i="4"/>
  <c r="T41" i="14" s="1"/>
  <c r="AJ16" i="4"/>
  <c r="T40" i="14" s="1"/>
  <c r="W37" s="1"/>
  <c r="AE7" i="5"/>
  <c r="AV11"/>
  <c r="AY12" s="1"/>
  <c r="AV2"/>
  <c r="D10"/>
  <c r="AL39" i="17"/>
  <c r="J63" i="1"/>
  <c r="AC8" i="5"/>
  <c r="S40" i="16"/>
  <c r="T39" i="15"/>
  <c r="G39" i="14" s="1"/>
  <c r="AP12" i="4"/>
  <c r="Q45" i="13"/>
  <c r="W46" i="12"/>
  <c r="AC46" i="11"/>
  <c r="Q45" i="14"/>
  <c r="AH41" i="15" s="1"/>
  <c r="C39" i="16" l="1"/>
  <c r="C39" i="17" s="1"/>
  <c r="AB47" i="12"/>
  <c r="AL34" i="4"/>
  <c r="N43" i="13"/>
  <c r="N44" s="1"/>
  <c r="B37" s="1"/>
  <c r="B37" i="11" s="1"/>
  <c r="Z44"/>
  <c r="AO5" i="4"/>
  <c r="AP5"/>
  <c r="V46" i="14"/>
  <c r="AM42" i="15" s="1"/>
  <c r="A146" i="5"/>
  <c r="F173"/>
  <c r="A172"/>
  <c r="A119"/>
  <c r="F120"/>
  <c r="A81"/>
  <c r="B81"/>
  <c r="F148"/>
  <c r="A147"/>
  <c r="C6" i="4"/>
  <c r="V3" i="16" s="1"/>
  <c r="F114" i="5"/>
  <c r="E113"/>
  <c r="A113" s="1"/>
  <c r="A82"/>
  <c r="D83"/>
  <c r="B82"/>
  <c r="B35" i="13"/>
  <c r="E10" i="5"/>
  <c r="D6" i="4" s="1"/>
  <c r="W3" i="16" s="1"/>
  <c r="AU2" i="4"/>
  <c r="AT2" s="1"/>
  <c r="AU3"/>
  <c r="AO38" i="16"/>
  <c r="S41"/>
  <c r="AO39" i="17"/>
  <c r="T40" i="15"/>
  <c r="G40" i="14" s="1"/>
  <c r="V3" i="17"/>
  <c r="AP2" i="4"/>
  <c r="AE8" i="5"/>
  <c r="J94" i="1"/>
  <c r="AC9" i="5"/>
  <c r="D16"/>
  <c r="AU82"/>
  <c r="A77" i="1"/>
  <c r="K63"/>
  <c r="J64"/>
  <c r="S42" i="16"/>
  <c r="T41" i="15"/>
  <c r="G41" i="14" s="1"/>
  <c r="AY2" i="5"/>
  <c r="AZ2" s="1"/>
  <c r="V11" i="17" l="1"/>
  <c r="V14" s="1"/>
  <c r="F174" i="5"/>
  <c r="A173"/>
  <c r="F149"/>
  <c r="A148"/>
  <c r="B83"/>
  <c r="A83"/>
  <c r="F115"/>
  <c r="E115" s="1"/>
  <c r="A115" s="1"/>
  <c r="E114"/>
  <c r="A114" s="1"/>
  <c r="F121"/>
  <c r="A120"/>
  <c r="F10"/>
  <c r="Y11" i="17"/>
  <c r="Y14" s="1"/>
  <c r="AW1" i="5"/>
  <c r="A74" i="1" s="1"/>
  <c r="AY87" i="5" s="1"/>
  <c r="K64" i="1"/>
  <c r="J65"/>
  <c r="AE9" i="5"/>
  <c r="D22"/>
  <c r="J123" i="1"/>
  <c r="AC10" i="5"/>
  <c r="AM38" i="11"/>
  <c r="AJ38"/>
  <c r="AJ38" i="14"/>
  <c r="AM38" i="9"/>
  <c r="AJ38" i="15"/>
  <c r="AJ38" i="9"/>
  <c r="AM38" i="8"/>
  <c r="AJ38" i="12"/>
  <c r="AJ38" i="8"/>
  <c r="AM38" i="12"/>
  <c r="AM38" i="13"/>
  <c r="AM38" i="7"/>
  <c r="AJ38"/>
  <c r="AJ38" i="13"/>
  <c r="AM38" i="15"/>
  <c r="AM38" i="14"/>
  <c r="AW35" i="5"/>
  <c r="R42" i="15"/>
  <c r="BA72" i="5"/>
  <c r="BA64"/>
  <c r="BA66"/>
  <c r="BA60"/>
  <c r="BA70"/>
  <c r="BA67"/>
  <c r="BA77"/>
  <c r="BA76"/>
  <c r="BA62"/>
  <c r="BA71"/>
  <c r="BA61"/>
  <c r="BA65"/>
  <c r="BA69"/>
  <c r="BA63"/>
  <c r="BA75"/>
  <c r="BA68"/>
  <c r="BA78"/>
  <c r="BA74"/>
  <c r="BA73"/>
  <c r="K6" i="4"/>
  <c r="AR35" i="5"/>
  <c r="M42" i="15"/>
  <c r="AW36" i="5"/>
  <c r="R43" i="15"/>
  <c r="E16" i="5"/>
  <c r="W3" i="17"/>
  <c r="AT3" i="4"/>
  <c r="AS3" s="1"/>
  <c r="P43" i="15" s="1"/>
  <c r="K94" i="1"/>
  <c r="J95"/>
  <c r="AS2" i="4"/>
  <c r="P42" i="15" l="1"/>
  <c r="R49" i="14" s="1"/>
  <c r="S51" i="12" s="1"/>
  <c r="S50" i="13" s="1"/>
  <c r="AR2" i="4"/>
  <c r="AQ2" s="1"/>
  <c r="F150" i="5"/>
  <c r="A149"/>
  <c r="F175"/>
  <c r="A174"/>
  <c r="E6" i="4"/>
  <c r="X3" i="16" s="1"/>
  <c r="A121" i="5"/>
  <c r="F122"/>
  <c r="AR3" i="4"/>
  <c r="AQ3" s="1"/>
  <c r="AP3" s="1"/>
  <c r="G10" i="5"/>
  <c r="F6" i="4" s="1"/>
  <c r="AU35" i="5"/>
  <c r="AU36"/>
  <c r="E22"/>
  <c r="T6" i="4" s="1"/>
  <c r="W3" i="14" s="1"/>
  <c r="L6" i="4"/>
  <c r="W3" i="15" s="1"/>
  <c r="O49" i="14"/>
  <c r="P51" i="12" s="1"/>
  <c r="P50" i="13" s="1"/>
  <c r="L47" i="16"/>
  <c r="BD73" i="5"/>
  <c r="BB73"/>
  <c r="BD75"/>
  <c r="BB75"/>
  <c r="BD61"/>
  <c r="BB61"/>
  <c r="BB77"/>
  <c r="BD77"/>
  <c r="BB66"/>
  <c r="BD66"/>
  <c r="X3" i="17"/>
  <c r="Y3" s="1"/>
  <c r="O48" i="16"/>
  <c r="R50" i="14"/>
  <c r="S52" i="12" s="1"/>
  <c r="S51" i="13" s="1"/>
  <c r="AV36" i="5"/>
  <c r="Q43" i="15"/>
  <c r="AJ3" i="17"/>
  <c r="V3" i="15"/>
  <c r="V11" i="16"/>
  <c r="V14" s="1"/>
  <c r="BB68" i="5"/>
  <c r="BD68"/>
  <c r="BD65"/>
  <c r="BB65"/>
  <c r="BB76"/>
  <c r="BD76"/>
  <c r="BD60"/>
  <c r="BB60"/>
  <c r="Q47" i="16"/>
  <c r="T49" i="14"/>
  <c r="U51" i="12" s="1"/>
  <c r="U50" i="13" s="1"/>
  <c r="K123" i="1"/>
  <c r="J124"/>
  <c r="K65"/>
  <c r="J66"/>
  <c r="F16" i="5"/>
  <c r="G16" s="1"/>
  <c r="BD69"/>
  <c r="BB69"/>
  <c r="BD62"/>
  <c r="BB62"/>
  <c r="BB70"/>
  <c r="BD70"/>
  <c r="BB72"/>
  <c r="BD72"/>
  <c r="AV35"/>
  <c r="Q42" i="15"/>
  <c r="Q48" i="16"/>
  <c r="T50" i="14"/>
  <c r="U52" i="12" s="1"/>
  <c r="U51" i="13" s="1"/>
  <c r="BD78" i="5"/>
  <c r="BB78"/>
  <c r="K95" i="1"/>
  <c r="J96"/>
  <c r="BB74" i="5"/>
  <c r="BD74"/>
  <c r="BB63"/>
  <c r="BD63"/>
  <c r="BD71"/>
  <c r="BB71"/>
  <c r="BD67"/>
  <c r="BB67"/>
  <c r="BD64"/>
  <c r="BB64"/>
  <c r="AE10"/>
  <c r="D28"/>
  <c r="AC11"/>
  <c r="S6" i="4"/>
  <c r="O47" i="16" l="1"/>
  <c r="AB11" i="17"/>
  <c r="AB14" s="1"/>
  <c r="F123" i="5"/>
  <c r="A122"/>
  <c r="F151"/>
  <c r="A151" s="1"/>
  <c r="A150"/>
  <c r="F176"/>
  <c r="A175"/>
  <c r="AT36"/>
  <c r="O43" i="15"/>
  <c r="N48" i="16" s="1"/>
  <c r="H10" i="5"/>
  <c r="G6" i="4" s="1"/>
  <c r="Z3" i="16" s="1"/>
  <c r="Y11"/>
  <c r="Y14" s="1"/>
  <c r="AK3" i="17"/>
  <c r="AK3" i="16"/>
  <c r="Y11" i="15"/>
  <c r="Y14" s="1"/>
  <c r="AT35" i="5"/>
  <c r="O42" i="15"/>
  <c r="Q49" i="14" s="1"/>
  <c r="R51" i="12" s="1"/>
  <c r="R50" i="13" s="1"/>
  <c r="Y3" i="16"/>
  <c r="AE11" i="17"/>
  <c r="AE14" s="1"/>
  <c r="M43" i="15"/>
  <c r="AR36" i="5"/>
  <c r="N6" i="4"/>
  <c r="H16" i="5"/>
  <c r="O6" i="4" s="1"/>
  <c r="AH11" i="16" s="1"/>
  <c r="AH14" s="1"/>
  <c r="Z3" i="17"/>
  <c r="AA3" s="1"/>
  <c r="F22" i="5"/>
  <c r="E28"/>
  <c r="F28" s="1"/>
  <c r="AC6" i="4" s="1"/>
  <c r="K124" i="1"/>
  <c r="J125"/>
  <c r="S50" i="14"/>
  <c r="T52" i="12" s="1"/>
  <c r="T51" i="13" s="1"/>
  <c r="P48" i="16"/>
  <c r="AS36" i="5"/>
  <c r="N43" i="15"/>
  <c r="AS35" i="5"/>
  <c r="N42" i="15"/>
  <c r="K66" i="1"/>
  <c r="J67"/>
  <c r="AE11" i="5"/>
  <c r="AC49"/>
  <c r="D34"/>
  <c r="AC12"/>
  <c r="AA6" i="4"/>
  <c r="P47" i="16"/>
  <c r="S49" i="14"/>
  <c r="T51" i="12" s="1"/>
  <c r="T50" i="13" s="1"/>
  <c r="M6" i="4"/>
  <c r="V11" i="15"/>
  <c r="V14" s="1"/>
  <c r="AJ3" i="16"/>
  <c r="V3" i="14"/>
  <c r="K96" i="1"/>
  <c r="J97"/>
  <c r="A123" i="5" l="1"/>
  <c r="F124"/>
  <c r="E34"/>
  <c r="D15" i="4" s="1"/>
  <c r="W3" i="13" s="1"/>
  <c r="F177" i="5"/>
  <c r="A176"/>
  <c r="Q50" i="14"/>
  <c r="R52" i="12" s="1"/>
  <c r="R51" i="13" s="1"/>
  <c r="I10" i="5"/>
  <c r="H6" i="4" s="1"/>
  <c r="AK11" i="17" s="1"/>
  <c r="AK14" s="1"/>
  <c r="AH11"/>
  <c r="AH14" s="1"/>
  <c r="AB3"/>
  <c r="V4" s="1"/>
  <c r="W4" s="1"/>
  <c r="X4" s="1"/>
  <c r="Y4" s="1"/>
  <c r="Z4" s="1"/>
  <c r="AA4" s="1"/>
  <c r="AB4" s="1"/>
  <c r="V5" s="1"/>
  <c r="W5" s="1"/>
  <c r="X5" s="1"/>
  <c r="Y5" s="1"/>
  <c r="Z5" s="1"/>
  <c r="AA5" s="1"/>
  <c r="AB5" s="1"/>
  <c r="V6" s="1"/>
  <c r="W6" s="1"/>
  <c r="X6" s="1"/>
  <c r="Y6" s="1"/>
  <c r="Z6" s="1"/>
  <c r="AA6" s="1"/>
  <c r="AB6" s="1"/>
  <c r="V7" s="1"/>
  <c r="W7" s="1"/>
  <c r="AA7" s="1"/>
  <c r="I16" i="5"/>
  <c r="P6" i="4" s="1"/>
  <c r="N47" i="16"/>
  <c r="G28" i="5"/>
  <c r="AD6" i="4" s="1"/>
  <c r="O50" i="14"/>
  <c r="P52" i="12" s="1"/>
  <c r="P51" i="13" s="1"/>
  <c r="L48" i="16"/>
  <c r="Z3" i="15"/>
  <c r="AN3" i="17"/>
  <c r="AB11" i="14"/>
  <c r="AB14" s="1"/>
  <c r="AL3" i="15"/>
  <c r="X3" i="12"/>
  <c r="AM3" i="17"/>
  <c r="Y3" i="15"/>
  <c r="AE11" i="16"/>
  <c r="AE14" s="1"/>
  <c r="AB6" i="4"/>
  <c r="U6"/>
  <c r="G22" i="5"/>
  <c r="V6" i="4" s="1"/>
  <c r="C15"/>
  <c r="K67" i="1"/>
  <c r="J68"/>
  <c r="M48" i="16"/>
  <c r="P50" i="14"/>
  <c r="Q52" i="12" s="1"/>
  <c r="Q51" i="13" s="1"/>
  <c r="K125" i="1"/>
  <c r="J126"/>
  <c r="K97"/>
  <c r="J98"/>
  <c r="AB11" i="16"/>
  <c r="AB14" s="1"/>
  <c r="AL3" i="17"/>
  <c r="X3" i="15"/>
  <c r="V11" i="14"/>
  <c r="V14" s="1"/>
  <c r="V3" i="12"/>
  <c r="AJ3" i="15"/>
  <c r="AE12" i="5"/>
  <c r="D40"/>
  <c r="AC13"/>
  <c r="AJ54"/>
  <c r="AJ50"/>
  <c r="AS22" i="4" s="1"/>
  <c r="AJ52" i="5"/>
  <c r="AS24" i="4" s="1"/>
  <c r="AL21"/>
  <c r="AC42" i="15" s="1"/>
  <c r="AJ51" i="5"/>
  <c r="AS23" i="4" s="1"/>
  <c r="AJ48" i="5"/>
  <c r="AJ49"/>
  <c r="AS21" i="4" s="1"/>
  <c r="AJ53" i="5"/>
  <c r="AS25" i="4" s="1"/>
  <c r="M47" i="16"/>
  <c r="P49" i="14"/>
  <c r="Q51" i="12" s="1"/>
  <c r="Q50" i="13" s="1"/>
  <c r="AA3" i="15" l="1"/>
  <c r="AK3" i="14"/>
  <c r="F34" i="5"/>
  <c r="E15" i="4" s="1"/>
  <c r="AB11" i="12" s="1"/>
  <c r="Y11"/>
  <c r="Y14" s="1"/>
  <c r="F178" i="5"/>
  <c r="A177"/>
  <c r="F125"/>
  <c r="A124"/>
  <c r="J10"/>
  <c r="AA3" i="16"/>
  <c r="AO3" i="17"/>
  <c r="AK11" i="16"/>
  <c r="AK14" s="1"/>
  <c r="H28" i="5"/>
  <c r="AE6" i="4" s="1"/>
  <c r="AH11" i="14" s="1"/>
  <c r="AH14" s="1"/>
  <c r="AB7" i="17"/>
  <c r="V8" s="1"/>
  <c r="W8" s="1"/>
  <c r="X7"/>
  <c r="J16" i="5"/>
  <c r="Y7" i="17"/>
  <c r="Z7"/>
  <c r="AM3" i="16"/>
  <c r="AE11" i="15"/>
  <c r="AE14" s="1"/>
  <c r="Y3" i="14"/>
  <c r="Y11"/>
  <c r="Y14" s="1"/>
  <c r="AK3" i="15"/>
  <c r="W3" i="12"/>
  <c r="H22" i="5"/>
  <c r="AL3" i="16"/>
  <c r="X3" i="14"/>
  <c r="AB11" i="15"/>
  <c r="AB14" s="1"/>
  <c r="Y3" i="12"/>
  <c r="AM3" i="15"/>
  <c r="AE11" i="14"/>
  <c r="AE14" s="1"/>
  <c r="AF42" i="12"/>
  <c r="AE41" i="13" s="1"/>
  <c r="AD42" i="14"/>
  <c r="AE13" i="5"/>
  <c r="Q10"/>
  <c r="AC14"/>
  <c r="K126" i="1"/>
  <c r="J127"/>
  <c r="K68"/>
  <c r="J69"/>
  <c r="AJ3" i="14"/>
  <c r="V3" i="13"/>
  <c r="V11" i="12"/>
  <c r="V14" s="1"/>
  <c r="AS20" i="4"/>
  <c r="AJ55" i="5"/>
  <c r="K15" i="4"/>
  <c r="K98" i="1"/>
  <c r="J99"/>
  <c r="E40" i="5"/>
  <c r="G34" l="1"/>
  <c r="H34" s="1"/>
  <c r="G15" i="4" s="1"/>
  <c r="X3" i="13"/>
  <c r="AL3" i="14"/>
  <c r="F126" i="5"/>
  <c r="A125"/>
  <c r="F179"/>
  <c r="A178"/>
  <c r="D11"/>
  <c r="E11" s="1"/>
  <c r="F11" s="1"/>
  <c r="R10"/>
  <c r="T15" i="4" s="1"/>
  <c r="Y11" i="11" s="1"/>
  <c r="Y14" s="1"/>
  <c r="I6" i="4"/>
  <c r="AN11" i="17" s="1"/>
  <c r="AN14" s="1"/>
  <c r="I28" i="5"/>
  <c r="AF6" i="4" s="1"/>
  <c r="AK11" i="14" s="1"/>
  <c r="AK14" s="1"/>
  <c r="AN3" i="15"/>
  <c r="Z3" i="12"/>
  <c r="D17" i="5"/>
  <c r="Q6" i="4"/>
  <c r="W6"/>
  <c r="Z3" i="14" s="1"/>
  <c r="I22" i="5"/>
  <c r="X6" i="4" s="1"/>
  <c r="AE14" i="5"/>
  <c r="AI61"/>
  <c r="Q16"/>
  <c r="AC15"/>
  <c r="L15" i="4"/>
  <c r="AJ56" i="5"/>
  <c r="AJ57" s="1"/>
  <c r="AJ58" s="1"/>
  <c r="AC51"/>
  <c r="K69" i="1"/>
  <c r="J70"/>
  <c r="V3" i="11"/>
  <c r="V11" i="13"/>
  <c r="V14" s="1"/>
  <c r="AJ3" i="12"/>
  <c r="F40" i="5"/>
  <c r="K99" i="1"/>
  <c r="J100"/>
  <c r="K127"/>
  <c r="J128"/>
  <c r="S15" i="4"/>
  <c r="AB14" i="12" l="1"/>
  <c r="AH11"/>
  <c r="AH14" s="1"/>
  <c r="F15" i="4"/>
  <c r="AK3" i="13"/>
  <c r="W3" i="10" s="1"/>
  <c r="S10" i="5"/>
  <c r="U15" i="4" s="1"/>
  <c r="AL3" i="13" s="1"/>
  <c r="X3" i="10" s="1"/>
  <c r="C7" i="4"/>
  <c r="F153" i="5"/>
  <c r="AI58"/>
  <c r="A85" s="1"/>
  <c r="F180"/>
  <c r="A179"/>
  <c r="F127"/>
  <c r="A126"/>
  <c r="D7" i="4"/>
  <c r="W4" i="16" s="1"/>
  <c r="AB3"/>
  <c r="J28" i="5"/>
  <c r="AA3" i="12"/>
  <c r="AO3" i="15"/>
  <c r="S37" s="1"/>
  <c r="E17" i="5"/>
  <c r="K7" i="4"/>
  <c r="AN11" i="16"/>
  <c r="AN14" s="1"/>
  <c r="AP3" i="17"/>
  <c r="AB3" i="15"/>
  <c r="J22" i="5"/>
  <c r="AH11" i="15"/>
  <c r="AH14" s="1"/>
  <c r="AN3" i="16"/>
  <c r="I34" i="5"/>
  <c r="H15" i="4" s="1"/>
  <c r="G11" i="5"/>
  <c r="E7" i="4"/>
  <c r="AN3" i="14"/>
  <c r="Z3" i="13"/>
  <c r="AA3" i="14"/>
  <c r="AO3" i="16"/>
  <c r="AK11" i="15"/>
  <c r="AK14" s="1"/>
  <c r="R16" i="5"/>
  <c r="AB15" i="4" s="1"/>
  <c r="Y11" i="10" s="1"/>
  <c r="Y14" s="1"/>
  <c r="M15" i="4"/>
  <c r="O54" i="5"/>
  <c r="AL23" i="4"/>
  <c r="AC44" i="15" s="1"/>
  <c r="O34" i="4"/>
  <c r="AD52" i="5"/>
  <c r="AM24" i="4" s="1"/>
  <c r="AD45" i="15" s="1"/>
  <c r="Y11" i="13"/>
  <c r="Y14" s="1"/>
  <c r="AK3" i="12"/>
  <c r="W3" i="11"/>
  <c r="AN61" i="5"/>
  <c r="AW27" i="4" s="1"/>
  <c r="AN63" i="5"/>
  <c r="AW29" i="4" s="1"/>
  <c r="AN62" i="5"/>
  <c r="AW28" i="4" s="1"/>
  <c r="AR27"/>
  <c r="AN65" i="5"/>
  <c r="AW31" i="4" s="1"/>
  <c r="AN64" i="5"/>
  <c r="AW30" i="4" s="1"/>
  <c r="AN66" i="5"/>
  <c r="AW32" i="4" s="1"/>
  <c r="AN60" i="5"/>
  <c r="AA15" i="4"/>
  <c r="G40" i="5"/>
  <c r="N15" i="4" s="1"/>
  <c r="K128" i="1"/>
  <c r="J129"/>
  <c r="K70"/>
  <c r="J71"/>
  <c r="AE15" i="5"/>
  <c r="Q22"/>
  <c r="AC16"/>
  <c r="V11" i="11"/>
  <c r="V14" s="1"/>
  <c r="AJ3" i="13"/>
  <c r="V3" i="10" s="1"/>
  <c r="K100" i="1"/>
  <c r="J101"/>
  <c r="AC50" i="5"/>
  <c r="AM3" i="14" l="1"/>
  <c r="AE11" i="12"/>
  <c r="AE14" s="1"/>
  <c r="Y3" i="13"/>
  <c r="AZ10" i="4"/>
  <c r="BB10" s="1"/>
  <c r="T10" i="5"/>
  <c r="V15" i="4" s="1"/>
  <c r="AM3" i="13" s="1"/>
  <c r="Y3" i="10" s="1"/>
  <c r="AB11" i="11"/>
  <c r="AB14" s="1"/>
  <c r="D85" i="5"/>
  <c r="K28" s="1"/>
  <c r="A153"/>
  <c r="D29"/>
  <c r="E29" s="1"/>
  <c r="F128"/>
  <c r="A127"/>
  <c r="R22"/>
  <c r="D24" i="4" s="1"/>
  <c r="AK3" i="10" s="1"/>
  <c r="Y6" i="4"/>
  <c r="AB3" i="14" s="1"/>
  <c r="F181" i="5"/>
  <c r="A180"/>
  <c r="V15" i="17"/>
  <c r="V18" s="1"/>
  <c r="V4" i="16"/>
  <c r="Y15" i="17"/>
  <c r="Y18" s="1"/>
  <c r="AG6" i="4"/>
  <c r="AP3" i="15" s="1"/>
  <c r="W3" i="9"/>
  <c r="D23" i="5"/>
  <c r="F17"/>
  <c r="L7" i="4"/>
  <c r="V15" i="16"/>
  <c r="V18" s="1"/>
  <c r="AJ4" i="17"/>
  <c r="V4" i="15"/>
  <c r="J34" i="5"/>
  <c r="H40"/>
  <c r="AO3" i="14"/>
  <c r="M37" s="1"/>
  <c r="AA3" i="13"/>
  <c r="K35" s="1"/>
  <c r="AK11" i="12"/>
  <c r="AK14" s="1"/>
  <c r="H11" i="5"/>
  <c r="F7" i="4"/>
  <c r="X4" i="16"/>
  <c r="AB15" i="17"/>
  <c r="AB18" s="1"/>
  <c r="AK3" i="11"/>
  <c r="S16" i="5"/>
  <c r="V11" i="10"/>
  <c r="V14" s="1"/>
  <c r="AJ3" i="11"/>
  <c r="V3" i="9"/>
  <c r="AE16" i="5"/>
  <c r="Q28"/>
  <c r="AC17"/>
  <c r="K71" i="1"/>
  <c r="J72"/>
  <c r="AD44" i="14"/>
  <c r="AF44" i="12"/>
  <c r="K129" i="1"/>
  <c r="J130"/>
  <c r="AW26" i="4"/>
  <c r="AN67" i="5"/>
  <c r="AL3" i="12"/>
  <c r="AB11" i="13"/>
  <c r="AB14" s="1"/>
  <c r="X3" i="11"/>
  <c r="K101" i="1"/>
  <c r="J102"/>
  <c r="M54" i="5"/>
  <c r="AL22" i="4"/>
  <c r="AD49" i="5"/>
  <c r="AG50" s="1"/>
  <c r="AP22" i="4" s="1"/>
  <c r="C24"/>
  <c r="Y3" i="11"/>
  <c r="AE11" i="13"/>
  <c r="AE14" s="1"/>
  <c r="AM3" i="12"/>
  <c r="AE45" i="14"/>
  <c r="AG45" i="12"/>
  <c r="AF44" i="13" s="1"/>
  <c r="S22" i="5" l="1"/>
  <c r="E24" i="4" s="1"/>
  <c r="X3" i="8" s="1"/>
  <c r="Y11" i="9"/>
  <c r="Y14" s="1"/>
  <c r="U10" i="5"/>
  <c r="W15" i="4" s="1"/>
  <c r="AN3" i="13" s="1"/>
  <c r="Z3" i="10" s="1"/>
  <c r="AE11" i="11"/>
  <c r="AE14" s="1"/>
  <c r="AA7" i="4"/>
  <c r="V4" i="12" s="1"/>
  <c r="W3" i="8"/>
  <c r="K34" i="5"/>
  <c r="K22"/>
  <c r="F129"/>
  <c r="A128"/>
  <c r="AN11" i="15"/>
  <c r="AN14" s="1"/>
  <c r="K16" i="5"/>
  <c r="K10"/>
  <c r="O15" i="4"/>
  <c r="AN3" i="12" s="1"/>
  <c r="E23" i="5"/>
  <c r="T7" i="4" s="1"/>
  <c r="F182" i="5"/>
  <c r="A181"/>
  <c r="AP3" i="16"/>
  <c r="AN11" i="14"/>
  <c r="AN14" s="1"/>
  <c r="AB3" i="12"/>
  <c r="I40" i="5"/>
  <c r="S7" i="4"/>
  <c r="V15" i="15" s="1"/>
  <c r="V18" s="1"/>
  <c r="AN68" i="5"/>
  <c r="AW33" i="4" s="1"/>
  <c r="AW34" s="1"/>
  <c r="AN52" i="5"/>
  <c r="G17"/>
  <c r="M7" i="4"/>
  <c r="W4" i="15"/>
  <c r="AK4" i="17"/>
  <c r="Y15" i="16"/>
  <c r="Y18" s="1"/>
  <c r="I15" i="4"/>
  <c r="D35" i="5"/>
  <c r="F29"/>
  <c r="AB7" i="4"/>
  <c r="AE15" i="17"/>
  <c r="AE18" s="1"/>
  <c r="Y4" i="16"/>
  <c r="I11" i="5"/>
  <c r="G7" i="4"/>
  <c r="T16" i="5"/>
  <c r="AD15" i="4" s="1"/>
  <c r="AC15"/>
  <c r="AM21"/>
  <c r="AD42" i="15" s="1"/>
  <c r="AF50" i="5"/>
  <c r="AO22" i="4" s="1"/>
  <c r="AF43" i="15" s="1"/>
  <c r="AJ3" i="10"/>
  <c r="V3" i="8"/>
  <c r="V11" i="9"/>
  <c r="V14" s="1"/>
  <c r="B37" i="12"/>
  <c r="AE43" i="13"/>
  <c r="AE17" i="5"/>
  <c r="AC18"/>
  <c r="Q34"/>
  <c r="K24" i="4"/>
  <c r="K102" i="1"/>
  <c r="J103"/>
  <c r="K130"/>
  <c r="J131"/>
  <c r="R28" i="5"/>
  <c r="L24" i="4" s="1"/>
  <c r="AC43" i="15"/>
  <c r="K34" i="4"/>
  <c r="K72" i="1"/>
  <c r="J73"/>
  <c r="P15" i="4" l="1"/>
  <c r="AA3" i="11" s="1"/>
  <c r="AL3" i="10"/>
  <c r="AB11" i="9"/>
  <c r="AB14" s="1"/>
  <c r="T22" i="5"/>
  <c r="F24" i="4" s="1"/>
  <c r="V10" i="5"/>
  <c r="X15" i="4" s="1"/>
  <c r="AK11" i="11" s="1"/>
  <c r="AK14" s="1"/>
  <c r="AH11"/>
  <c r="AH14" s="1"/>
  <c r="AJ4" i="15"/>
  <c r="V15" i="14"/>
  <c r="V18" s="1"/>
  <c r="AH11" i="13"/>
  <c r="AH14" s="1"/>
  <c r="Z3" i="11"/>
  <c r="F23" i="5"/>
  <c r="U7" i="4" s="1"/>
  <c r="F183" i="5"/>
  <c r="A182"/>
  <c r="F130"/>
  <c r="A129"/>
  <c r="J40"/>
  <c r="Q15" i="4" s="1"/>
  <c r="AP3" i="12" s="1"/>
  <c r="V4" i="14"/>
  <c r="AJ4" i="16"/>
  <c r="AG65" i="5"/>
  <c r="AG63"/>
  <c r="H17"/>
  <c r="N7" i="4"/>
  <c r="AB15" i="16"/>
  <c r="AB18" s="1"/>
  <c r="AL4" i="17"/>
  <c r="X4" i="15"/>
  <c r="AP3" i="14"/>
  <c r="N37" s="1"/>
  <c r="AB3" i="13"/>
  <c r="L35" s="1"/>
  <c r="AN11" i="12"/>
  <c r="AN14" s="1"/>
  <c r="E35" i="5"/>
  <c r="C16" i="4"/>
  <c r="L35" s="1"/>
  <c r="U16" i="5"/>
  <c r="Y15" i="15"/>
  <c r="Y18" s="1"/>
  <c r="W4" i="14"/>
  <c r="AK4" i="16"/>
  <c r="G29" i="5"/>
  <c r="AC7" i="4"/>
  <c r="AK4" i="15"/>
  <c r="Y15" i="14"/>
  <c r="Y18" s="1"/>
  <c r="W4" i="12"/>
  <c r="J11" i="5"/>
  <c r="H7" i="4"/>
  <c r="Z4" i="16"/>
  <c r="AH15" i="17"/>
  <c r="AH18" s="1"/>
  <c r="S28" i="5"/>
  <c r="Y3" i="9"/>
  <c r="AM3" i="11"/>
  <c r="AE11" i="10"/>
  <c r="AE14" s="1"/>
  <c r="AB11"/>
  <c r="AB14" s="1"/>
  <c r="AL3" i="11"/>
  <c r="X3" i="9"/>
  <c r="K131" i="1"/>
  <c r="J132"/>
  <c r="AE18" i="5"/>
  <c r="AJ39" i="6"/>
  <c r="Q40" i="5"/>
  <c r="AH45" i="16"/>
  <c r="AG43" i="14"/>
  <c r="AI43" i="12"/>
  <c r="AH42" i="13" s="1"/>
  <c r="S24" i="4"/>
  <c r="R34" i="5"/>
  <c r="AF43" i="12"/>
  <c r="AD43" i="14"/>
  <c r="V3" i="7"/>
  <c r="AJ3" i="9"/>
  <c r="V11" i="8"/>
  <c r="V14" s="1"/>
  <c r="K73" i="1"/>
  <c r="J74"/>
  <c r="K35" i="4"/>
  <c r="AZ6"/>
  <c r="Y11" i="8"/>
  <c r="Y14" s="1"/>
  <c r="W3" i="7"/>
  <c r="AK3" i="9"/>
  <c r="K103" i="1"/>
  <c r="J104"/>
  <c r="AE42" i="14"/>
  <c r="AG42" i="12"/>
  <c r="AF41" i="13" s="1"/>
  <c r="AO3" i="12" l="1"/>
  <c r="AK11" i="13"/>
  <c r="AK14" s="1"/>
  <c r="U22" i="5"/>
  <c r="G24" i="4" s="1"/>
  <c r="Z3" i="8" s="1"/>
  <c r="W10" i="5"/>
  <c r="Y15" i="4" s="1"/>
  <c r="G23" i="5"/>
  <c r="V7" i="4" s="1"/>
  <c r="F184" i="5"/>
  <c r="A183"/>
  <c r="AE15" i="4"/>
  <c r="Z3" i="9" s="1"/>
  <c r="D41" i="5"/>
  <c r="K40"/>
  <c r="K11"/>
  <c r="F131"/>
  <c r="A130"/>
  <c r="AN11" i="13"/>
  <c r="AN14" s="1"/>
  <c r="AB3" i="11"/>
  <c r="AO3" i="13"/>
  <c r="AA3" i="10" s="1"/>
  <c r="V16" i="5"/>
  <c r="AA35" i="4"/>
  <c r="AP31"/>
  <c r="AD49" i="11"/>
  <c r="AI40" i="10" s="1"/>
  <c r="AA38" s="1"/>
  <c r="AG64" i="5"/>
  <c r="AP30" i="4" s="1"/>
  <c r="AG67" i="5"/>
  <c r="AP29" i="4"/>
  <c r="I17" i="5"/>
  <c r="O7" i="4"/>
  <c r="Y4" i="15"/>
  <c r="AE15" i="16"/>
  <c r="AE18" s="1"/>
  <c r="AM4" i="17"/>
  <c r="V15" i="12"/>
  <c r="AJ4" i="14"/>
  <c r="O37" s="1"/>
  <c r="V4" i="13"/>
  <c r="T35" s="1"/>
  <c r="F35" i="5"/>
  <c r="D16" i="4"/>
  <c r="AB15" i="15"/>
  <c r="AB18" s="1"/>
  <c r="X4" i="14"/>
  <c r="AL4" i="16"/>
  <c r="AD7" i="4"/>
  <c r="H29" i="5"/>
  <c r="AL4" i="15"/>
  <c r="X4" i="12"/>
  <c r="AB15" i="14"/>
  <c r="AB18" s="1"/>
  <c r="D12" i="5"/>
  <c r="I7" i="4"/>
  <c r="AK15" i="17"/>
  <c r="AK18" s="1"/>
  <c r="AA4" i="16"/>
  <c r="M24" i="4"/>
  <c r="T28" i="5"/>
  <c r="U28" s="1"/>
  <c r="O24" i="4" s="1"/>
  <c r="R40" i="5"/>
  <c r="S40" s="1"/>
  <c r="AC24" i="4" s="1"/>
  <c r="K104" i="1"/>
  <c r="J105"/>
  <c r="Y3" i="8"/>
  <c r="AM3" i="10"/>
  <c r="AE11" i="9"/>
  <c r="AE14" s="1"/>
  <c r="AA24" i="4"/>
  <c r="K74" i="1"/>
  <c r="J75"/>
  <c r="T24" i="4"/>
  <c r="S34" i="5"/>
  <c r="T34" s="1"/>
  <c r="V24" i="4" s="1"/>
  <c r="BB6"/>
  <c r="B36" i="12"/>
  <c r="AE42" i="13"/>
  <c r="AJ3" i="8"/>
  <c r="V3" i="6"/>
  <c r="V11" i="7"/>
  <c r="V14" s="1"/>
  <c r="AJ3" i="6"/>
  <c r="AK3" s="1"/>
  <c r="K132" i="1"/>
  <c r="J133"/>
  <c r="V22" i="5" l="1"/>
  <c r="H24" i="4" s="1"/>
  <c r="AK11" i="9" s="1"/>
  <c r="AK14" s="1"/>
  <c r="V18" i="12"/>
  <c r="G36"/>
  <c r="Q11" i="5"/>
  <c r="S16" i="4" s="1"/>
  <c r="X10" i="5"/>
  <c r="H23"/>
  <c r="W7" i="4" s="1"/>
  <c r="BF9"/>
  <c r="Z34" s="1"/>
  <c r="AN3" i="11"/>
  <c r="AH11" i="10"/>
  <c r="AH14" s="1"/>
  <c r="F133" i="5"/>
  <c r="A131"/>
  <c r="F185"/>
  <c r="A184"/>
  <c r="E41"/>
  <c r="K16" i="4"/>
  <c r="AF15"/>
  <c r="AK11" i="10" s="1"/>
  <c r="AK14" s="1"/>
  <c r="W16" i="5"/>
  <c r="X16" s="1"/>
  <c r="AN11" i="11"/>
  <c r="AN14" s="1"/>
  <c r="AP3" i="13"/>
  <c r="AB3" i="10" s="1"/>
  <c r="AP33" i="4"/>
  <c r="AG69" i="5"/>
  <c r="AE35" i="4" s="1"/>
  <c r="AG68" i="5"/>
  <c r="AP34" i="4" s="1"/>
  <c r="AD50" i="11"/>
  <c r="AI41" i="10" s="1"/>
  <c r="AA39" s="1"/>
  <c r="Y39" i="9"/>
  <c r="T35" i="10"/>
  <c r="Z39" i="11"/>
  <c r="J17" i="5"/>
  <c r="P7" i="4"/>
  <c r="AA4" i="15" s="1"/>
  <c r="AH15" i="16"/>
  <c r="AH18" s="1"/>
  <c r="AN4" i="17"/>
  <c r="Z4" i="15"/>
  <c r="Y15" i="12"/>
  <c r="Y18" s="1"/>
  <c r="W4" i="13"/>
  <c r="AK4" i="14"/>
  <c r="G35" i="5"/>
  <c r="E16" i="4"/>
  <c r="AH11" i="9"/>
  <c r="AH14" s="1"/>
  <c r="AM4" i="16"/>
  <c r="AE15" i="15"/>
  <c r="AE18" s="1"/>
  <c r="Y4" i="14"/>
  <c r="AN3" i="9"/>
  <c r="AH11" i="8"/>
  <c r="AH14" s="1"/>
  <c r="Z3" i="7"/>
  <c r="AM4" i="15"/>
  <c r="Y4" i="12"/>
  <c r="AE15" i="14"/>
  <c r="AE18" s="1"/>
  <c r="AN3" i="10"/>
  <c r="AE7" i="4"/>
  <c r="I29" i="5"/>
  <c r="E12"/>
  <c r="C8" i="4"/>
  <c r="AB4" i="16"/>
  <c r="AN15" i="17"/>
  <c r="AN18" s="1"/>
  <c r="X3" i="7"/>
  <c r="AL3" i="9"/>
  <c r="AB11" i="8"/>
  <c r="AB14" s="1"/>
  <c r="N24" i="4"/>
  <c r="V28" i="5"/>
  <c r="P24" i="4" s="1"/>
  <c r="AE11" i="7"/>
  <c r="AE14" s="1"/>
  <c r="AM3" i="8"/>
  <c r="Y3" i="6"/>
  <c r="AB24" i="4"/>
  <c r="AK3" i="7" s="1"/>
  <c r="AJ3"/>
  <c r="V11" i="6"/>
  <c r="V14" s="1"/>
  <c r="K105" i="1"/>
  <c r="J106"/>
  <c r="T40" i="5"/>
  <c r="W3" i="6"/>
  <c r="AK3" i="8"/>
  <c r="Y11" i="7"/>
  <c r="Y14" s="1"/>
  <c r="U24" i="4"/>
  <c r="U34" i="5"/>
  <c r="W24" i="4" s="1"/>
  <c r="K75" i="1"/>
  <c r="J76"/>
  <c r="AL3" i="7"/>
  <c r="AB11" i="6"/>
  <c r="AB14" s="1"/>
  <c r="AL3"/>
  <c r="AM3" s="1"/>
  <c r="K133" i="1"/>
  <c r="J134"/>
  <c r="W22" i="5" l="1"/>
  <c r="I24" i="4" s="1"/>
  <c r="AN11" i="9" s="1"/>
  <c r="AN14" s="1"/>
  <c r="AO3" i="10"/>
  <c r="AA3" i="8"/>
  <c r="R11" i="5"/>
  <c r="S11" s="1"/>
  <c r="I23"/>
  <c r="J23" s="1"/>
  <c r="BF11" i="4"/>
  <c r="AD34" s="1"/>
  <c r="K17" i="5"/>
  <c r="F186"/>
  <c r="A185"/>
  <c r="F41"/>
  <c r="L16" i="4"/>
  <c r="V15" i="13"/>
  <c r="V18" s="1"/>
  <c r="AJ4" i="12"/>
  <c r="V4" i="11"/>
  <c r="F134" i="5"/>
  <c r="A133"/>
  <c r="Q17"/>
  <c r="AG15" i="4"/>
  <c r="AA3" i="9"/>
  <c r="AO3" i="11"/>
  <c r="AJ4" i="13"/>
  <c r="V4" i="10" s="1"/>
  <c r="V15" i="11"/>
  <c r="V18" s="1"/>
  <c r="V34" i="5"/>
  <c r="X24" i="4" s="1"/>
  <c r="AK11" i="7" s="1"/>
  <c r="AK14" s="1"/>
  <c r="Z40" i="11"/>
  <c r="AP35" i="4"/>
  <c r="Y40" i="9"/>
  <c r="V35" i="10"/>
  <c r="W28" i="5"/>
  <c r="Q24" i="4" s="1"/>
  <c r="D18" i="5"/>
  <c r="Q7" i="4"/>
  <c r="AK15" i="16"/>
  <c r="AO4" i="17"/>
  <c r="AL4" i="14"/>
  <c r="AB15" i="12"/>
  <c r="AB18" s="1"/>
  <c r="X4" i="13"/>
  <c r="F16" i="4"/>
  <c r="H35" i="5"/>
  <c r="Y11" i="6"/>
  <c r="Y14" s="1"/>
  <c r="AN4" i="16"/>
  <c r="AH15" i="15"/>
  <c r="AH18" s="1"/>
  <c r="Z4" i="14"/>
  <c r="AN4" i="15"/>
  <c r="AH15" i="14"/>
  <c r="AH18" s="1"/>
  <c r="Z4" i="12"/>
  <c r="J29" i="5"/>
  <c r="K29" s="1"/>
  <c r="AF7" i="4"/>
  <c r="F12" i="5"/>
  <c r="D8" i="4"/>
  <c r="V19" i="17"/>
  <c r="V22" s="1"/>
  <c r="V5" i="16"/>
  <c r="AO3" i="9"/>
  <c r="AA3" i="7"/>
  <c r="AK11" i="8"/>
  <c r="AK14" s="1"/>
  <c r="AN3" i="6"/>
  <c r="AO3" s="1"/>
  <c r="AE11" i="8"/>
  <c r="AE14" s="1"/>
  <c r="Y3" i="7"/>
  <c r="AM3" i="9"/>
  <c r="AN3" i="8"/>
  <c r="AH11" i="7"/>
  <c r="AH14" s="1"/>
  <c r="Z3" i="6"/>
  <c r="AD24" i="4"/>
  <c r="U40" i="5"/>
  <c r="AE24" i="4" s="1"/>
  <c r="K106" i="1"/>
  <c r="J107"/>
  <c r="AB11" i="7"/>
  <c r="AB14" s="1"/>
  <c r="AL3" i="8"/>
  <c r="X3" i="6"/>
  <c r="K134" i="1"/>
  <c r="J135"/>
  <c r="K76"/>
  <c r="J77"/>
  <c r="X22" i="5" l="1"/>
  <c r="Q23"/>
  <c r="R23" s="1"/>
  <c r="S23" s="1"/>
  <c r="T23" s="1"/>
  <c r="T16" i="4"/>
  <c r="AK4" i="13" s="1"/>
  <c r="W4" i="10" s="1"/>
  <c r="AP3"/>
  <c r="X7" i="4"/>
  <c r="AA4" i="14" s="1"/>
  <c r="AB3" i="8"/>
  <c r="G41" i="5"/>
  <c r="M16" i="4"/>
  <c r="F135" i="5"/>
  <c r="A134"/>
  <c r="Y15" i="13"/>
  <c r="Y18" s="1"/>
  <c r="AK4" i="12"/>
  <c r="W4" i="11"/>
  <c r="X28" i="5"/>
  <c r="K23"/>
  <c r="F187"/>
  <c r="A186"/>
  <c r="R17"/>
  <c r="AA16" i="4"/>
  <c r="AP3" i="11"/>
  <c r="AB3" i="9"/>
  <c r="AN11" i="10"/>
  <c r="AN14" s="1"/>
  <c r="U16" i="4"/>
  <c r="T11" i="5"/>
  <c r="AO3" i="8"/>
  <c r="AA3" i="6"/>
  <c r="W34" i="5"/>
  <c r="Q29"/>
  <c r="R29" s="1"/>
  <c r="E18"/>
  <c r="K8" i="4"/>
  <c r="AP4" i="17"/>
  <c r="AN15" i="16"/>
  <c r="AN18" s="1"/>
  <c r="AB4" i="15"/>
  <c r="AK18" i="16"/>
  <c r="I35" i="5"/>
  <c r="G16" i="4"/>
  <c r="AE15" i="12"/>
  <c r="AE18" s="1"/>
  <c r="Y4" i="13"/>
  <c r="AM4" i="14"/>
  <c r="AP3" i="6"/>
  <c r="AJ4" s="1"/>
  <c r="AK4" s="1"/>
  <c r="AL4" s="1"/>
  <c r="AM4" s="1"/>
  <c r="AN4" s="1"/>
  <c r="AO4" s="1"/>
  <c r="AP4" s="1"/>
  <c r="AJ5" s="1"/>
  <c r="AK5" s="1"/>
  <c r="AL5" s="1"/>
  <c r="AM5" s="1"/>
  <c r="AN5" s="1"/>
  <c r="AO5" s="1"/>
  <c r="D24" i="5"/>
  <c r="Y7" i="4"/>
  <c r="V40" i="5"/>
  <c r="AF24" i="4" s="1"/>
  <c r="AK15" i="14"/>
  <c r="AK18" s="1"/>
  <c r="AA4" i="12"/>
  <c r="AO4" i="15"/>
  <c r="D30" i="5"/>
  <c r="AG7" i="4"/>
  <c r="G12" i="5"/>
  <c r="E8" i="4"/>
  <c r="W5" i="16"/>
  <c r="Y19" i="17"/>
  <c r="Y22" s="1"/>
  <c r="AP3" i="9"/>
  <c r="AN11" i="8"/>
  <c r="AN14" s="1"/>
  <c r="AB3" i="7"/>
  <c r="K107" i="1"/>
  <c r="J108"/>
  <c r="AE11" i="6"/>
  <c r="AE14" s="1"/>
  <c r="AM3" i="7"/>
  <c r="K135" i="1"/>
  <c r="J136"/>
  <c r="AH11" i="6"/>
  <c r="AH14" s="1"/>
  <c r="AN3" i="7"/>
  <c r="K77" i="1"/>
  <c r="J78"/>
  <c r="AP5" i="6" l="1"/>
  <c r="C25" i="4"/>
  <c r="V4" i="8" s="1"/>
  <c r="Y15" i="11"/>
  <c r="Y18" s="1"/>
  <c r="AK15" i="15"/>
  <c r="AK18" s="1"/>
  <c r="D25" i="4"/>
  <c r="W4" i="8" s="1"/>
  <c r="AO4" i="16"/>
  <c r="N16" i="4"/>
  <c r="H41" i="5"/>
  <c r="Q35"/>
  <c r="R35" s="1"/>
  <c r="T25" i="4" s="1"/>
  <c r="X34" i="5"/>
  <c r="F136"/>
  <c r="A135"/>
  <c r="AL4" i="12"/>
  <c r="X4" i="11"/>
  <c r="AB15" i="13"/>
  <c r="AB18" s="1"/>
  <c r="F188" i="5"/>
  <c r="A187"/>
  <c r="K25" i="4"/>
  <c r="V4" i="7" s="1"/>
  <c r="W40" i="5"/>
  <c r="AB16" i="4"/>
  <c r="S17" i="5"/>
  <c r="V4" i="9"/>
  <c r="AJ4" i="11"/>
  <c r="V15" i="10"/>
  <c r="V18" s="1"/>
  <c r="AB15" i="11"/>
  <c r="AB18" s="1"/>
  <c r="AL4" i="13"/>
  <c r="X4" i="10" s="1"/>
  <c r="V16" i="4"/>
  <c r="U11" i="5"/>
  <c r="Y24" i="4"/>
  <c r="F18" i="5"/>
  <c r="L8" i="4"/>
  <c r="AJ5" i="17"/>
  <c r="V5" i="15"/>
  <c r="V19" i="16"/>
  <c r="V22" s="1"/>
  <c r="J35" i="5"/>
  <c r="H16" i="4"/>
  <c r="Z4" i="13"/>
  <c r="AN4" i="14"/>
  <c r="AH15" i="12"/>
  <c r="AH18" s="1"/>
  <c r="AB4" i="14"/>
  <c r="AP4" i="16"/>
  <c r="AN15" i="15"/>
  <c r="AN18" s="1"/>
  <c r="E24" i="5"/>
  <c r="S8" i="4"/>
  <c r="AB4" i="12"/>
  <c r="AN15" i="14"/>
  <c r="AN18" s="1"/>
  <c r="AP4" i="15"/>
  <c r="AK11" i="6"/>
  <c r="AK14" s="1"/>
  <c r="AO3" i="7"/>
  <c r="AA8" i="4"/>
  <c r="E30" i="5"/>
  <c r="H12"/>
  <c r="F8" i="4"/>
  <c r="AB19" i="17"/>
  <c r="AB22" s="1"/>
  <c r="X5" i="16"/>
  <c r="L25" i="4"/>
  <c r="S29" i="5"/>
  <c r="K78" i="1"/>
  <c r="J79"/>
  <c r="E25" i="4"/>
  <c r="K136" i="1"/>
  <c r="J137"/>
  <c r="K108"/>
  <c r="J109"/>
  <c r="AJ6" i="6" l="1"/>
  <c r="AK6" s="1"/>
  <c r="AL6" s="1"/>
  <c r="AM6" s="1"/>
  <c r="AN6" s="1"/>
  <c r="AO6" s="1"/>
  <c r="Y35" s="1"/>
  <c r="Y15" i="9"/>
  <c r="Y18" s="1"/>
  <c r="AJ4" i="10"/>
  <c r="V15" i="9"/>
  <c r="V18" s="1"/>
  <c r="AK4" i="10"/>
  <c r="AJ4" i="9"/>
  <c r="V15" i="8"/>
  <c r="V18" s="1"/>
  <c r="F189" i="5"/>
  <c r="A188"/>
  <c r="F137"/>
  <c r="A136"/>
  <c r="AG24" i="4"/>
  <c r="AN11" i="6" s="1"/>
  <c r="AN14" s="1"/>
  <c r="X40" i="5"/>
  <c r="Y4" i="11"/>
  <c r="AE15" i="13"/>
  <c r="AE18" s="1"/>
  <c r="AM4" i="12"/>
  <c r="K35" i="5"/>
  <c r="S25" i="4"/>
  <c r="I41" i="5"/>
  <c r="P16" i="4" s="1"/>
  <c r="AO4" i="12" s="1"/>
  <c r="O16" i="4"/>
  <c r="S35" i="5"/>
  <c r="U25" i="4" s="1"/>
  <c r="Q41" i="5"/>
  <c r="Y15" i="10"/>
  <c r="Y18" s="1"/>
  <c r="AK4" i="11"/>
  <c r="W4" i="9"/>
  <c r="AC16" i="4"/>
  <c r="T17" i="5"/>
  <c r="AE15" i="11"/>
  <c r="AE18" s="1"/>
  <c r="AM4" i="13"/>
  <c r="Y4" i="10" s="1"/>
  <c r="W16" i="4"/>
  <c r="V11" i="5"/>
  <c r="AN11" i="7"/>
  <c r="AN14" s="1"/>
  <c r="AB3" i="6"/>
  <c r="AP3" i="8"/>
  <c r="G18" i="5"/>
  <c r="M8" i="4"/>
  <c r="Y19" i="16"/>
  <c r="Y22" s="1"/>
  <c r="W5" i="15"/>
  <c r="AK5" i="17"/>
  <c r="D36" i="5"/>
  <c r="I16" i="4"/>
  <c r="AA4" i="13"/>
  <c r="AO4" i="14"/>
  <c r="AK15" i="12"/>
  <c r="AK18" s="1"/>
  <c r="V19" i="15"/>
  <c r="V22" s="1"/>
  <c r="V5" i="14"/>
  <c r="AJ5" i="16"/>
  <c r="F24" i="5"/>
  <c r="T8" i="4"/>
  <c r="V19" i="14"/>
  <c r="V22" s="1"/>
  <c r="AJ5" i="15"/>
  <c r="V5" i="12"/>
  <c r="F30" i="5"/>
  <c r="AB8" i="4"/>
  <c r="I12" i="5"/>
  <c r="G8" i="4"/>
  <c r="Y5" i="16"/>
  <c r="AE19" i="17"/>
  <c r="AE22" s="1"/>
  <c r="W4" i="7"/>
  <c r="Y15" i="8"/>
  <c r="Y18" s="1"/>
  <c r="AK4" i="9"/>
  <c r="M25" i="4"/>
  <c r="T29" i="5"/>
  <c r="X4" i="8"/>
  <c r="AL4" i="10"/>
  <c r="AB15" i="9"/>
  <c r="AB18" s="1"/>
  <c r="K109" i="1"/>
  <c r="J110"/>
  <c r="K137"/>
  <c r="J138"/>
  <c r="Y15" i="7"/>
  <c r="Y18" s="1"/>
  <c r="AK4" i="8"/>
  <c r="W4" i="6"/>
  <c r="F25" i="4"/>
  <c r="U23" i="5"/>
  <c r="K79" i="1"/>
  <c r="J80"/>
  <c r="H8" i="4" l="1"/>
  <c r="AP6" i="6"/>
  <c r="AJ7" s="1"/>
  <c r="AK7" s="1"/>
  <c r="AL7" s="1"/>
  <c r="AM7" s="1"/>
  <c r="AN7" s="1"/>
  <c r="AO7" s="1"/>
  <c r="AP7" s="1"/>
  <c r="AJ8" s="1"/>
  <c r="AK8" s="1"/>
  <c r="AL8" s="1"/>
  <c r="AM8" s="1"/>
  <c r="AN8" s="1"/>
  <c r="AO8" s="1"/>
  <c r="AP8" s="1"/>
  <c r="AB38"/>
  <c r="AB39" s="1"/>
  <c r="AK15" i="13"/>
  <c r="AA4" i="11"/>
  <c r="J41" i="5"/>
  <c r="Q16" i="4" s="1"/>
  <c r="AN4" i="12"/>
  <c r="AH15" i="13"/>
  <c r="AH18" s="1"/>
  <c r="Z4" i="11"/>
  <c r="V4" i="6"/>
  <c r="AJ4" i="8"/>
  <c r="V15" i="7"/>
  <c r="V18" s="1"/>
  <c r="A137" i="5"/>
  <c r="F139"/>
  <c r="A139" s="1"/>
  <c r="AA25" i="4"/>
  <c r="AJ4" i="7" s="1"/>
  <c r="F190" i="5"/>
  <c r="A189"/>
  <c r="AP3" i="7"/>
  <c r="R41" i="5"/>
  <c r="S41" s="1"/>
  <c r="T35"/>
  <c r="U35" s="1"/>
  <c r="AD16" i="4"/>
  <c r="U17" i="5"/>
  <c r="X4" i="9"/>
  <c r="AL4" i="11"/>
  <c r="AB15" i="10"/>
  <c r="AB18" s="1"/>
  <c r="AH15" i="11"/>
  <c r="AH18" s="1"/>
  <c r="AN4" i="13"/>
  <c r="Z4" i="10" s="1"/>
  <c r="X16" i="4"/>
  <c r="W11" i="5"/>
  <c r="H18"/>
  <c r="N8" i="4"/>
  <c r="AL5" i="17"/>
  <c r="AB19" i="16"/>
  <c r="AB22" s="1"/>
  <c r="X5" i="15"/>
  <c r="C17" i="4"/>
  <c r="E36" i="5"/>
  <c r="AN15" i="12"/>
  <c r="AN18" s="1"/>
  <c r="AP4" i="14"/>
  <c r="AB4" i="13"/>
  <c r="W5" i="14"/>
  <c r="AK5" i="16"/>
  <c r="Y19" i="15"/>
  <c r="Y22" s="1"/>
  <c r="G24" i="5"/>
  <c r="U8" i="4"/>
  <c r="Y19" i="14"/>
  <c r="Y22" s="1"/>
  <c r="W5" i="12"/>
  <c r="AK5" i="15"/>
  <c r="AC8" i="4"/>
  <c r="G30" i="5"/>
  <c r="J12"/>
  <c r="I8" i="4" s="1"/>
  <c r="AH19" i="17"/>
  <c r="AH22" s="1"/>
  <c r="Z5" i="16"/>
  <c r="U29" i="5"/>
  <c r="N25" i="4"/>
  <c r="AB15" i="8"/>
  <c r="AB18" s="1"/>
  <c r="X4" i="7"/>
  <c r="AL4" i="9"/>
  <c r="V15" i="6"/>
  <c r="V18" s="1"/>
  <c r="AL4" i="8"/>
  <c r="AB15" i="7"/>
  <c r="AB18" s="1"/>
  <c r="X4" i="6"/>
  <c r="K110" i="1"/>
  <c r="J111"/>
  <c r="Y4" i="8"/>
  <c r="AM4" i="10"/>
  <c r="AE15" i="9"/>
  <c r="AE18" s="1"/>
  <c r="K80" i="1"/>
  <c r="J81"/>
  <c r="G25" i="4"/>
  <c r="V23" i="5"/>
  <c r="H25" i="4" s="1"/>
  <c r="AK15" i="9" s="1"/>
  <c r="K138" i="1"/>
  <c r="J139"/>
  <c r="D42" i="5" l="1"/>
  <c r="X11"/>
  <c r="F191"/>
  <c r="A190"/>
  <c r="K41"/>
  <c r="K12"/>
  <c r="AK18" i="13"/>
  <c r="V25" i="4"/>
  <c r="AM4" i="8" s="1"/>
  <c r="AB25" i="4"/>
  <c r="AK4" i="7" s="1"/>
  <c r="AE15" i="10"/>
  <c r="AE18" s="1"/>
  <c r="AM4" i="11"/>
  <c r="M36" s="1"/>
  <c r="Y4" i="9"/>
  <c r="J36" s="1"/>
  <c r="AE16" i="4"/>
  <c r="V17" i="5"/>
  <c r="AO4" i="13"/>
  <c r="AA4" i="10" s="1"/>
  <c r="AK15" i="11"/>
  <c r="AK18" s="1"/>
  <c r="Y16" i="4"/>
  <c r="Q12" i="5"/>
  <c r="O8" i="4"/>
  <c r="I18" i="5"/>
  <c r="Y5" i="15"/>
  <c r="AE19" i="16"/>
  <c r="AE22" s="1"/>
  <c r="AM5" i="17"/>
  <c r="V5" i="13"/>
  <c r="AJ5" i="14"/>
  <c r="V19" i="12"/>
  <c r="V22" s="1"/>
  <c r="D17" i="4"/>
  <c r="F36" i="5"/>
  <c r="AL5" i="16"/>
  <c r="X5" i="14"/>
  <c r="AB19" i="15"/>
  <c r="AB22" s="1"/>
  <c r="H24" i="5"/>
  <c r="V8" i="4"/>
  <c r="AD8"/>
  <c r="H30" i="5"/>
  <c r="AL5" i="15"/>
  <c r="X5" i="12"/>
  <c r="AB19" i="14"/>
  <c r="AB22" s="1"/>
  <c r="AK19" i="17"/>
  <c r="AA5" i="16"/>
  <c r="D13" i="5"/>
  <c r="V29"/>
  <c r="O25" i="4"/>
  <c r="AE15" i="8"/>
  <c r="AE18" s="1"/>
  <c r="AM4" i="9"/>
  <c r="Y4" i="7"/>
  <c r="K139" i="1"/>
  <c r="J140"/>
  <c r="W23" i="5"/>
  <c r="W25" i="4"/>
  <c r="V35" i="5"/>
  <c r="K111" i="1"/>
  <c r="J112"/>
  <c r="K81"/>
  <c r="J82"/>
  <c r="Z4" i="8"/>
  <c r="AN4" i="10"/>
  <c r="AH15" i="9"/>
  <c r="AH18" s="1"/>
  <c r="AC25" i="4"/>
  <c r="T41" i="5"/>
  <c r="AK22" i="17" l="1"/>
  <c r="G35"/>
  <c r="AE15" i="7"/>
  <c r="AE18" s="1"/>
  <c r="K17" i="4"/>
  <c r="E42" i="5"/>
  <c r="X23"/>
  <c r="F192"/>
  <c r="A191"/>
  <c r="AN15" i="13"/>
  <c r="AN18" s="1"/>
  <c r="AB4" i="11"/>
  <c r="AP4" i="12"/>
  <c r="Y4" i="6"/>
  <c r="Y15"/>
  <c r="Y18" s="1"/>
  <c r="AF16" i="4"/>
  <c r="W17" i="5"/>
  <c r="AH15" i="10"/>
  <c r="AH18" s="1"/>
  <c r="Z4" i="9"/>
  <c r="AN4" i="11"/>
  <c r="AN15"/>
  <c r="AN18" s="1"/>
  <c r="AP4" i="13"/>
  <c r="AB4" i="10" s="1"/>
  <c r="R12" i="5"/>
  <c r="S17" i="4"/>
  <c r="Z5" i="15"/>
  <c r="AN5" i="17"/>
  <c r="AH19" i="16"/>
  <c r="AH22" s="1"/>
  <c r="J18" i="5"/>
  <c r="P8" i="4"/>
  <c r="E17"/>
  <c r="G36" i="5"/>
  <c r="Y19" i="12"/>
  <c r="Y22" s="1"/>
  <c r="W5" i="13"/>
  <c r="AK5" i="14"/>
  <c r="AE19" i="15"/>
  <c r="AE22" s="1"/>
  <c r="Y5" i="14"/>
  <c r="AM5" i="16"/>
  <c r="W8" i="4"/>
  <c r="I24" i="5"/>
  <c r="AE19" i="14"/>
  <c r="AE22" s="1"/>
  <c r="Y5" i="12"/>
  <c r="AM5" i="15"/>
  <c r="I30" i="5"/>
  <c r="AE8" i="4"/>
  <c r="C9"/>
  <c r="E13" i="5"/>
  <c r="AN19" i="17"/>
  <c r="AB5" i="16"/>
  <c r="W29" i="5"/>
  <c r="P25" i="4"/>
  <c r="AH15" i="8"/>
  <c r="AH18" s="1"/>
  <c r="AN4" i="9"/>
  <c r="Z4" i="7"/>
  <c r="Z4" i="6"/>
  <c r="AH15" i="7"/>
  <c r="AH18" s="1"/>
  <c r="AN4" i="8"/>
  <c r="AA4"/>
  <c r="AO4" i="10"/>
  <c r="AK18" i="9"/>
  <c r="AD25" i="4"/>
  <c r="U41" i="5"/>
  <c r="X25" i="4"/>
  <c r="W35" i="5"/>
  <c r="I25" i="4"/>
  <c r="Q24" i="5"/>
  <c r="K82" i="1"/>
  <c r="J83"/>
  <c r="AB15" i="6"/>
  <c r="AB18" s="1"/>
  <c r="AL4" i="7"/>
  <c r="K112" i="1"/>
  <c r="J113"/>
  <c r="K140"/>
  <c r="J141"/>
  <c r="AN22" i="17" l="1"/>
  <c r="H35"/>
  <c r="F193" i="5"/>
  <c r="A192"/>
  <c r="L17" i="4"/>
  <c r="F42" i="5"/>
  <c r="X35"/>
  <c r="X17"/>
  <c r="X29"/>
  <c r="K18"/>
  <c r="V19" i="13"/>
  <c r="V22" s="1"/>
  <c r="AJ5" i="12"/>
  <c r="V5" i="11"/>
  <c r="AG16" i="4"/>
  <c r="Q18" i="5"/>
  <c r="AK15" i="10"/>
  <c r="AK18" s="1"/>
  <c r="AA4" i="9"/>
  <c r="AO4" i="11"/>
  <c r="T17" i="4"/>
  <c r="S12" i="5"/>
  <c r="AJ5" i="13"/>
  <c r="V5" i="10" s="1"/>
  <c r="V19" i="11"/>
  <c r="V22" s="1"/>
  <c r="AK19" i="16"/>
  <c r="AK22" s="1"/>
  <c r="AO5" i="17"/>
  <c r="AA5" i="15"/>
  <c r="D19" i="5"/>
  <c r="Q8" i="4"/>
  <c r="AB19" i="12"/>
  <c r="AB22" s="1"/>
  <c r="X5" i="13"/>
  <c r="AL5" i="14"/>
  <c r="H36" i="5"/>
  <c r="F17" i="4"/>
  <c r="J24" i="5"/>
  <c r="X8" i="4"/>
  <c r="AN5" i="16"/>
  <c r="AH19" i="15"/>
  <c r="AH22" s="1"/>
  <c r="Z5" i="14"/>
  <c r="Z5" i="12"/>
  <c r="AH19" i="14"/>
  <c r="AH22" s="1"/>
  <c r="AN5" i="15"/>
  <c r="AF8" i="4"/>
  <c r="J30" i="5"/>
  <c r="V6" i="16"/>
  <c r="V23" i="17"/>
  <c r="V26" s="1"/>
  <c r="F13" i="5"/>
  <c r="D9" i="4"/>
  <c r="Q30" i="5"/>
  <c r="Q25" i="4"/>
  <c r="AK15" i="8"/>
  <c r="AK18" s="1"/>
  <c r="AA4" i="7"/>
  <c r="AO4" i="9"/>
  <c r="K141" i="1"/>
  <c r="J142"/>
  <c r="AP4" i="10"/>
  <c r="AB4" i="8"/>
  <c r="AN15" i="9"/>
  <c r="AN18" s="1"/>
  <c r="AE25" i="4"/>
  <c r="V41" i="5"/>
  <c r="J84" i="1"/>
  <c r="K83"/>
  <c r="C26" i="4"/>
  <c r="R24" i="5"/>
  <c r="AO4" i="8"/>
  <c r="AA4" i="6"/>
  <c r="AK15" i="7"/>
  <c r="AK18" s="1"/>
  <c r="K113" i="1"/>
  <c r="J114"/>
  <c r="Y25" i="4"/>
  <c r="Q36" i="5"/>
  <c r="AE15" i="6"/>
  <c r="AE18" s="1"/>
  <c r="AM4" i="7"/>
  <c r="AK5" i="12" l="1"/>
  <c r="W5" i="11"/>
  <c r="Y19" i="13"/>
  <c r="Y22" s="1"/>
  <c r="G42" i="5"/>
  <c r="M17" i="4"/>
  <c r="K30" i="5"/>
  <c r="K24"/>
  <c r="F194"/>
  <c r="A193"/>
  <c r="AB4" i="9"/>
  <c r="AP4" i="11"/>
  <c r="AN15" i="10"/>
  <c r="AN18" s="1"/>
  <c r="AA17" i="4"/>
  <c r="R18" i="5"/>
  <c r="Y19" i="11"/>
  <c r="Y22" s="1"/>
  <c r="AK5" i="13"/>
  <c r="W5" i="10" s="1"/>
  <c r="T12" i="5"/>
  <c r="U17" i="4"/>
  <c r="AP5" i="17"/>
  <c r="AB5" i="15"/>
  <c r="AN19" i="16"/>
  <c r="AN22" s="1"/>
  <c r="K9" i="4"/>
  <c r="E19" i="5"/>
  <c r="I36"/>
  <c r="G17" i="4"/>
  <c r="Y5" i="13"/>
  <c r="AE19" i="12"/>
  <c r="AE22" s="1"/>
  <c r="AM5" i="14"/>
  <c r="D25" i="5"/>
  <c r="Y8" i="4"/>
  <c r="AK19" i="15"/>
  <c r="AK22" s="1"/>
  <c r="AO5" i="16"/>
  <c r="AA5" i="14"/>
  <c r="AG8" i="4"/>
  <c r="D31" i="5"/>
  <c r="AO5" i="15"/>
  <c r="AK19" i="14"/>
  <c r="AK22" s="1"/>
  <c r="AA5" i="12"/>
  <c r="E9" i="4"/>
  <c r="G13" i="5"/>
  <c r="W6" i="16"/>
  <c r="Y23" i="17"/>
  <c r="Y26" s="1"/>
  <c r="R30" i="5"/>
  <c r="K26" i="4"/>
  <c r="AB4" i="7"/>
  <c r="AN15" i="8"/>
  <c r="AN18" s="1"/>
  <c r="AP4" i="9"/>
  <c r="AN4" i="7"/>
  <c r="AH15" i="6"/>
  <c r="AH18" s="1"/>
  <c r="K84" i="1"/>
  <c r="J85"/>
  <c r="AF25" i="4"/>
  <c r="W41" i="5"/>
  <c r="X41" s="1"/>
  <c r="K142" i="1"/>
  <c r="J143"/>
  <c r="AP4" i="8"/>
  <c r="AB4" i="6"/>
  <c r="AN15" i="7"/>
  <c r="AN18" s="1"/>
  <c r="S26" i="4"/>
  <c r="R36" i="5"/>
  <c r="AJ5" i="10"/>
  <c r="V5" i="8"/>
  <c r="V19" i="9"/>
  <c r="V22" s="1"/>
  <c r="K114" i="1"/>
  <c r="J115"/>
  <c r="D26" i="4"/>
  <c r="S24" i="5"/>
  <c r="AL5" i="12" l="1"/>
  <c r="X5" i="11"/>
  <c r="AB19" i="13"/>
  <c r="AB22" s="1"/>
  <c r="F195" i="5"/>
  <c r="A194"/>
  <c r="N17" i="4"/>
  <c r="H42" i="5"/>
  <c r="AB17" i="4"/>
  <c r="S18" i="5"/>
  <c r="V19" i="10"/>
  <c r="V22" s="1"/>
  <c r="V5" i="9"/>
  <c r="AJ5" i="11"/>
  <c r="U12" i="5"/>
  <c r="V17" i="4"/>
  <c r="AL5" i="13"/>
  <c r="X5" i="10" s="1"/>
  <c r="AB19" i="11"/>
  <c r="AB22" s="1"/>
  <c r="F19" i="5"/>
  <c r="L9" i="4"/>
  <c r="AJ6" i="17"/>
  <c r="V6" i="15"/>
  <c r="V23" i="16"/>
  <c r="V26" s="1"/>
  <c r="Z5" i="13"/>
  <c r="AN5" i="14"/>
  <c r="AH19" i="12"/>
  <c r="AH22" s="1"/>
  <c r="J36" i="5"/>
  <c r="H17" i="4"/>
  <c r="E25" i="5"/>
  <c r="S9" i="4"/>
  <c r="AN19" i="15"/>
  <c r="AN22" s="1"/>
  <c r="AP5" i="16"/>
  <c r="AB5" i="14"/>
  <c r="AB5" i="12"/>
  <c r="AN19" i="14"/>
  <c r="AN22" s="1"/>
  <c r="AP5" i="15"/>
  <c r="AA9" i="4"/>
  <c r="E31" i="5"/>
  <c r="X6" i="16"/>
  <c r="AB23" i="17"/>
  <c r="AB26" s="1"/>
  <c r="H13" i="5"/>
  <c r="F9" i="4"/>
  <c r="S30" i="5"/>
  <c r="L26" i="4"/>
  <c r="V5" i="7"/>
  <c r="V19" i="8"/>
  <c r="V22" s="1"/>
  <c r="AJ5" i="9"/>
  <c r="AK5" i="10"/>
  <c r="W5" i="8"/>
  <c r="Y19" i="9"/>
  <c r="Y22" s="1"/>
  <c r="AJ5" i="8"/>
  <c r="V5" i="6"/>
  <c r="V19" i="7"/>
  <c r="V22" s="1"/>
  <c r="E26" i="4"/>
  <c r="T24" i="5"/>
  <c r="K115" i="1"/>
  <c r="J116"/>
  <c r="T26" i="4"/>
  <c r="S36" i="5"/>
  <c r="K143" i="1"/>
  <c r="J144"/>
  <c r="AO4" i="7"/>
  <c r="AK15" i="6"/>
  <c r="AK18" s="1"/>
  <c r="J86" i="1"/>
  <c r="K85"/>
  <c r="AG25" i="4"/>
  <c r="Q42" i="5"/>
  <c r="K36" l="1"/>
  <c r="Y5" i="11"/>
  <c r="AE19" i="13"/>
  <c r="AE22" s="1"/>
  <c r="AM5" i="12"/>
  <c r="F196" i="5"/>
  <c r="A195"/>
  <c r="O17" i="4"/>
  <c r="I42" i="5"/>
  <c r="W5" i="9"/>
  <c r="Y19" i="10"/>
  <c r="Y22" s="1"/>
  <c r="AK5" i="11"/>
  <c r="AC17" i="4"/>
  <c r="T18" i="5"/>
  <c r="AA67"/>
  <c r="W17" i="4"/>
  <c r="V12" i="5"/>
  <c r="AE19" i="11"/>
  <c r="AE22" s="1"/>
  <c r="AM5" i="13"/>
  <c r="Y5" i="10" s="1"/>
  <c r="G19" i="5"/>
  <c r="M9" i="4"/>
  <c r="Y23" i="16"/>
  <c r="Y26" s="1"/>
  <c r="AK6" i="17"/>
  <c r="W6" i="15"/>
  <c r="AK19" i="12"/>
  <c r="AK22" s="1"/>
  <c r="AO5" i="14"/>
  <c r="AA5" i="13"/>
  <c r="D37" i="5"/>
  <c r="I17" i="4"/>
  <c r="F25" i="5"/>
  <c r="T9" i="4"/>
  <c r="V23" i="15"/>
  <c r="V26" s="1"/>
  <c r="AJ6" i="16"/>
  <c r="V6" i="14"/>
  <c r="AB9" i="4"/>
  <c r="F31" i="5"/>
  <c r="V6" i="12"/>
  <c r="AJ6" i="15"/>
  <c r="V23" i="14"/>
  <c r="V26" s="1"/>
  <c r="G9" i="4"/>
  <c r="I13" i="5"/>
  <c r="AA25" s="1"/>
  <c r="AE23" i="17"/>
  <c r="AE26" s="1"/>
  <c r="Y6" i="16"/>
  <c r="M26" i="4"/>
  <c r="T30" i="5"/>
  <c r="Y19" i="8"/>
  <c r="Y22" s="1"/>
  <c r="AK5" i="9"/>
  <c r="W5" i="7"/>
  <c r="AP4"/>
  <c r="AN15" i="6"/>
  <c r="AN18" s="1"/>
  <c r="K86" i="1"/>
  <c r="J87"/>
  <c r="K144"/>
  <c r="J145"/>
  <c r="J117"/>
  <c r="K116"/>
  <c r="W5" i="6"/>
  <c r="AK5" i="8"/>
  <c r="Y19" i="7"/>
  <c r="Y22" s="1"/>
  <c r="AB19" i="9"/>
  <c r="AB22" s="1"/>
  <c r="AL5" i="10"/>
  <c r="X5" i="8"/>
  <c r="AA26" i="4"/>
  <c r="R42" i="5"/>
  <c r="U26" i="4"/>
  <c r="T36" i="5"/>
  <c r="F26" i="4"/>
  <c r="U24" i="5"/>
  <c r="P17" i="4" l="1"/>
  <c r="J42" i="5"/>
  <c r="K42" s="1"/>
  <c r="F197"/>
  <c r="A196"/>
  <c r="AN5" i="12"/>
  <c r="Z5" i="11"/>
  <c r="AH19" i="13"/>
  <c r="AH22" s="1"/>
  <c r="U18" i="5"/>
  <c r="AD17" i="4"/>
  <c r="AL5" i="11"/>
  <c r="AB19" i="10"/>
  <c r="AB22" s="1"/>
  <c r="X5" i="9"/>
  <c r="V45" i="13"/>
  <c r="AA68" i="5"/>
  <c r="AT34" i="4"/>
  <c r="U48" i="11"/>
  <c r="W41" i="10"/>
  <c r="AN5" i="13"/>
  <c r="Z5" i="10" s="1"/>
  <c r="AH19" i="11"/>
  <c r="AH22" s="1"/>
  <c r="W12" i="5"/>
  <c r="X17" i="4"/>
  <c r="N9"/>
  <c r="H19" i="5"/>
  <c r="AB23" i="16"/>
  <c r="AB26" s="1"/>
  <c r="X6" i="15"/>
  <c r="AL6" i="17"/>
  <c r="AB5" i="13"/>
  <c r="AN19" i="12"/>
  <c r="AN22" s="1"/>
  <c r="AP5" i="14"/>
  <c r="C18" i="4"/>
  <c r="E37" i="5"/>
  <c r="U9" i="4"/>
  <c r="G25" i="5"/>
  <c r="AK6" i="16"/>
  <c r="W6" i="14"/>
  <c r="Y23" i="15"/>
  <c r="Y26" s="1"/>
  <c r="W6" i="12"/>
  <c r="AK6" i="15"/>
  <c r="Y23" i="14"/>
  <c r="Y26" s="1"/>
  <c r="AC9" i="4"/>
  <c r="G31" i="5"/>
  <c r="Z6" i="16"/>
  <c r="AH23" i="17"/>
  <c r="AH26" s="1"/>
  <c r="H9" i="4"/>
  <c r="J13" i="5"/>
  <c r="AB19" i="8"/>
  <c r="AB22" s="1"/>
  <c r="X5" i="7"/>
  <c r="AL5" i="9"/>
  <c r="U30" i="5"/>
  <c r="N26" i="4"/>
  <c r="AL5" i="8"/>
  <c r="X5" i="6"/>
  <c r="AB19" i="7"/>
  <c r="AB22" s="1"/>
  <c r="V26" i="4"/>
  <c r="U36" i="5"/>
  <c r="AJ5" i="7"/>
  <c r="V19" i="6"/>
  <c r="V22" s="1"/>
  <c r="K117" i="1"/>
  <c r="J118"/>
  <c r="AE19" i="9"/>
  <c r="AE22" s="1"/>
  <c r="AM5" i="10"/>
  <c r="Y5" i="8"/>
  <c r="G26" i="4"/>
  <c r="V24" i="5"/>
  <c r="AB26" i="4"/>
  <c r="S42" i="5"/>
  <c r="K145" i="1"/>
  <c r="J146"/>
  <c r="K87"/>
  <c r="J88"/>
  <c r="X12" i="5" l="1"/>
  <c r="AK19" i="13"/>
  <c r="AK22" s="1"/>
  <c r="AA5" i="11"/>
  <c r="AO5" i="12"/>
  <c r="K13" i="5"/>
  <c r="F198"/>
  <c r="A197"/>
  <c r="Q17" i="4"/>
  <c r="D43" i="5"/>
  <c r="V18"/>
  <c r="AE17" i="4"/>
  <c r="AE19" i="10"/>
  <c r="AE22" s="1"/>
  <c r="AM5" i="11"/>
  <c r="Y5" i="9"/>
  <c r="AK19" i="11"/>
  <c r="AK22" s="1"/>
  <c r="AO5" i="13"/>
  <c r="AA5" i="10" s="1"/>
  <c r="U49" i="11"/>
  <c r="AT35" i="4"/>
  <c r="V46" i="13"/>
  <c r="W42" i="10"/>
  <c r="Y17" i="4"/>
  <c r="Q13" i="5"/>
  <c r="AE23" i="16"/>
  <c r="AE26" s="1"/>
  <c r="AM6" i="17"/>
  <c r="Y6" i="15"/>
  <c r="I19" i="5"/>
  <c r="O9" i="4"/>
  <c r="D18"/>
  <c r="F37" i="5"/>
  <c r="AJ6" i="14"/>
  <c r="V23" i="12"/>
  <c r="V26" s="1"/>
  <c r="V6" i="13"/>
  <c r="AB23" i="15"/>
  <c r="AB26" s="1"/>
  <c r="AL6" i="16"/>
  <c r="X6" i="14"/>
  <c r="H25" i="5"/>
  <c r="V9" i="4"/>
  <c r="AD9"/>
  <c r="H31" i="5"/>
  <c r="X6" i="12"/>
  <c r="AB23" i="14"/>
  <c r="AB26" s="1"/>
  <c r="AL6" i="15"/>
  <c r="D14" i="5"/>
  <c r="I9" i="4"/>
  <c r="AA26" i="5"/>
  <c r="AM13" i="4" s="1"/>
  <c r="AD39" i="17" s="1"/>
  <c r="AM12" i="4"/>
  <c r="AG32" s="1"/>
  <c r="I54" i="5"/>
  <c r="AA6" i="16"/>
  <c r="AK23" i="17"/>
  <c r="AK26" s="1"/>
  <c r="AE19" i="8"/>
  <c r="AE22" s="1"/>
  <c r="AM5" i="9"/>
  <c r="Y5" i="7"/>
  <c r="V30" i="5"/>
  <c r="O26" i="4"/>
  <c r="H26"/>
  <c r="W24" i="5"/>
  <c r="K118" i="1"/>
  <c r="J119"/>
  <c r="W26" i="4"/>
  <c r="V36" i="5"/>
  <c r="Y19" i="6"/>
  <c r="Y22" s="1"/>
  <c r="AK5" i="7"/>
  <c r="J89" i="1"/>
  <c r="K88"/>
  <c r="AC26" i="4"/>
  <c r="T42" i="5"/>
  <c r="K146" i="1"/>
  <c r="J147"/>
  <c r="Z5" i="8"/>
  <c r="AN5" i="10"/>
  <c r="AH19" i="9"/>
  <c r="AH22" s="1"/>
  <c r="Y5" i="6"/>
  <c r="AM5" i="8"/>
  <c r="AE19" i="7"/>
  <c r="AE22" s="1"/>
  <c r="E43" i="5" l="1"/>
  <c r="K18" i="4"/>
  <c r="F199" i="5"/>
  <c r="A198"/>
  <c r="X24"/>
  <c r="AN19" i="13"/>
  <c r="AN22" s="1"/>
  <c r="AB5" i="11"/>
  <c r="AP5" i="12"/>
  <c r="AF17" i="4"/>
  <c r="W18" i="5"/>
  <c r="AH19" i="10"/>
  <c r="AH22" s="1"/>
  <c r="Z5" i="9"/>
  <c r="AN5" i="11"/>
  <c r="AN19"/>
  <c r="AN22" s="1"/>
  <c r="AP5" i="13"/>
  <c r="AB5" i="10" s="1"/>
  <c r="S18" i="4"/>
  <c r="R13" i="5"/>
  <c r="AH23" i="16"/>
  <c r="AH26" s="1"/>
  <c r="AN6" i="17"/>
  <c r="Z6" i="15"/>
  <c r="P9" i="4"/>
  <c r="J19" i="5"/>
  <c r="G37"/>
  <c r="E18" i="4"/>
  <c r="W6" i="13"/>
  <c r="Y23" i="12"/>
  <c r="Y26" s="1"/>
  <c r="AK6" i="14"/>
  <c r="Y6"/>
  <c r="AM6" i="16"/>
  <c r="AE23" i="15"/>
  <c r="AE26" s="1"/>
  <c r="I25" i="5"/>
  <c r="W9" i="4"/>
  <c r="AE23" i="14"/>
  <c r="AE26" s="1"/>
  <c r="AM6" i="15"/>
  <c r="Y6" i="12"/>
  <c r="AE9" i="4"/>
  <c r="I31" i="5"/>
  <c r="E14"/>
  <c r="C10" i="4"/>
  <c r="AN23" i="17"/>
  <c r="AN26" s="1"/>
  <c r="AB6" i="16"/>
  <c r="AC39"/>
  <c r="O35" s="1"/>
  <c r="AD38" i="17"/>
  <c r="AH19" i="8"/>
  <c r="AH22" s="1"/>
  <c r="AN5" i="9"/>
  <c r="Z5" i="7"/>
  <c r="W30" i="5"/>
  <c r="P26" i="4"/>
  <c r="AD26"/>
  <c r="U42" i="5"/>
  <c r="AN5" i="8"/>
  <c r="Z5" i="6"/>
  <c r="AH19" i="7"/>
  <c r="AH22" s="1"/>
  <c r="AO5" i="10"/>
  <c r="AK19" i="9"/>
  <c r="AK22" s="1"/>
  <c r="AA5" i="8"/>
  <c r="X26" i="4"/>
  <c r="W36" i="5"/>
  <c r="K119" i="1"/>
  <c r="J120"/>
  <c r="I26" i="4"/>
  <c r="Q25" i="5"/>
  <c r="K147" i="1"/>
  <c r="J148"/>
  <c r="AL5" i="7"/>
  <c r="AB19" i="6"/>
  <c r="AB22" s="1"/>
  <c r="K89" i="1"/>
  <c r="J90"/>
  <c r="K19" i="5" l="1"/>
  <c r="X18"/>
  <c r="F43"/>
  <c r="M18" i="4" s="1"/>
  <c r="L18"/>
  <c r="X36" i="5"/>
  <c r="F200"/>
  <c r="A199"/>
  <c r="V6" i="11"/>
  <c r="V23" i="13"/>
  <c r="V26" s="1"/>
  <c r="AJ6" i="12"/>
  <c r="X30" i="5"/>
  <c r="AG17" i="4"/>
  <c r="Q19" i="5"/>
  <c r="AO5" i="11"/>
  <c r="AK19" i="10"/>
  <c r="AK22" s="1"/>
  <c r="AA5" i="9"/>
  <c r="AJ6" i="13"/>
  <c r="V6" i="10" s="1"/>
  <c r="V23" i="11"/>
  <c r="V26" s="1"/>
  <c r="S13" i="5"/>
  <c r="T18" i="4"/>
  <c r="D20" i="5"/>
  <c r="Q9" i="4"/>
  <c r="AO6" i="17"/>
  <c r="AA6" i="15"/>
  <c r="AK23" i="16"/>
  <c r="AK26" s="1"/>
  <c r="F18" i="4"/>
  <c r="H37" i="5"/>
  <c r="AL6" i="14"/>
  <c r="X6" i="13"/>
  <c r="AB23" i="12"/>
  <c r="AB26" s="1"/>
  <c r="AH23" i="15"/>
  <c r="AH26" s="1"/>
  <c r="Z6" i="14"/>
  <c r="AN6" i="16"/>
  <c r="J25" i="5"/>
  <c r="X9" i="4"/>
  <c r="AF9"/>
  <c r="J31" i="5"/>
  <c r="AH23" i="14"/>
  <c r="AH26" s="1"/>
  <c r="Z6" i="12"/>
  <c r="AN6" i="15"/>
  <c r="I14" i="5"/>
  <c r="H10" i="4" s="1"/>
  <c r="F14" i="5"/>
  <c r="E10" i="4" s="1"/>
  <c r="H14" i="5"/>
  <c r="G10" i="4" s="1"/>
  <c r="J14" i="5"/>
  <c r="D10" i="4"/>
  <c r="G14" i="5"/>
  <c r="F10" i="4" s="1"/>
  <c r="V27" i="17"/>
  <c r="V30" s="1"/>
  <c r="V7" i="16"/>
  <c r="AC38"/>
  <c r="N35" s="1"/>
  <c r="AK19" i="8"/>
  <c r="AK22" s="1"/>
  <c r="AA5" i="7"/>
  <c r="AO5" i="9"/>
  <c r="Q26" i="4"/>
  <c r="Q31" i="5"/>
  <c r="K120" i="1"/>
  <c r="J121"/>
  <c r="AB5" i="8"/>
  <c r="AP5" i="10"/>
  <c r="AN19" i="9"/>
  <c r="AN22" s="1"/>
  <c r="AA5" i="6"/>
  <c r="AK19" i="7"/>
  <c r="AK22" s="1"/>
  <c r="AO5" i="8"/>
  <c r="AM5" i="7"/>
  <c r="AE19" i="6"/>
  <c r="AE22" s="1"/>
  <c r="K90" i="1"/>
  <c r="J91"/>
  <c r="K148"/>
  <c r="J149"/>
  <c r="C27" i="4"/>
  <c r="R25" i="5"/>
  <c r="Y26" i="4"/>
  <c r="Q37" i="5"/>
  <c r="AE26" i="4"/>
  <c r="V42" i="5"/>
  <c r="F201" l="1"/>
  <c r="A200"/>
  <c r="Y23" i="13"/>
  <c r="Y26" s="1"/>
  <c r="W6" i="11"/>
  <c r="AK6" i="12"/>
  <c r="K31" i="5"/>
  <c r="K25"/>
  <c r="G43"/>
  <c r="N18" i="4" s="1"/>
  <c r="K14" i="5"/>
  <c r="AA18" i="4"/>
  <c r="R19" i="5"/>
  <c r="AB5" i="9"/>
  <c r="AN19" i="10"/>
  <c r="AN22" s="1"/>
  <c r="AP5" i="11"/>
  <c r="U18" i="4"/>
  <c r="T13" i="5"/>
  <c r="Y23" i="11"/>
  <c r="Y26" s="1"/>
  <c r="AK6" i="13"/>
  <c r="W6" i="10" s="1"/>
  <c r="K10" i="4"/>
  <c r="E20" i="5"/>
  <c r="AN23" i="16"/>
  <c r="AN26" s="1"/>
  <c r="AP6" i="17"/>
  <c r="AB6" i="15"/>
  <c r="Y6" i="13"/>
  <c r="AE23" i="12"/>
  <c r="AE26" s="1"/>
  <c r="AM6" i="14"/>
  <c r="I37" i="5"/>
  <c r="G18" i="4"/>
  <c r="AA6" i="14"/>
  <c r="AK23" i="15"/>
  <c r="AK26" s="1"/>
  <c r="AO6" i="16"/>
  <c r="D26" i="5"/>
  <c r="Y9" i="4"/>
  <c r="AA6" i="12"/>
  <c r="AO6" i="15"/>
  <c r="AK23" i="14"/>
  <c r="AK26" s="1"/>
  <c r="AG9" i="4"/>
  <c r="D32" i="5"/>
  <c r="W7" i="16"/>
  <c r="Y27" i="17"/>
  <c r="Y30" s="1"/>
  <c r="AK27"/>
  <c r="AA7" i="16"/>
  <c r="AE27" i="17"/>
  <c r="AE30" s="1"/>
  <c r="Y7" i="16"/>
  <c r="AB27" i="17"/>
  <c r="AB30" s="1"/>
  <c r="X7" i="16"/>
  <c r="Z7"/>
  <c r="AH27" i="17"/>
  <c r="AH30" s="1"/>
  <c r="D15" i="5"/>
  <c r="I10" i="4"/>
  <c r="K27"/>
  <c r="R31" i="5"/>
  <c r="L27" i="4" s="1"/>
  <c r="AP5" i="9"/>
  <c r="AN19" i="8"/>
  <c r="AN22" s="1"/>
  <c r="AB5" i="7"/>
  <c r="AF26" i="4"/>
  <c r="W42" i="5"/>
  <c r="S27" i="4"/>
  <c r="R37" i="5"/>
  <c r="V6" i="8"/>
  <c r="AJ6" i="10"/>
  <c r="V23" i="9"/>
  <c r="V26" s="1"/>
  <c r="D27" i="4"/>
  <c r="S25" i="5"/>
  <c r="J150" i="1"/>
  <c r="K149"/>
  <c r="AH19" i="6"/>
  <c r="AH22" s="1"/>
  <c r="AN5" i="7"/>
  <c r="AP5" i="8"/>
  <c r="AB5" i="6"/>
  <c r="AN19" i="7"/>
  <c r="AN22" s="1"/>
  <c r="J92" i="1"/>
  <c r="K91"/>
  <c r="O93" s="1"/>
  <c r="K121"/>
  <c r="J122"/>
  <c r="K122" s="1"/>
  <c r="AK30" i="17" l="1"/>
  <c r="X42" i="5"/>
  <c r="AB23" i="13"/>
  <c r="AB26" s="1"/>
  <c r="AL6" i="12"/>
  <c r="X6" i="11"/>
  <c r="H43" i="5"/>
  <c r="O18" i="4" s="1"/>
  <c r="F202" i="5"/>
  <c r="A201"/>
  <c r="AJ6" i="11"/>
  <c r="V6" i="9"/>
  <c r="V23" i="10"/>
  <c r="V26" s="1"/>
  <c r="S19" i="5"/>
  <c r="AB18" i="4"/>
  <c r="U13" i="5"/>
  <c r="V18" i="4"/>
  <c r="AB23" i="11"/>
  <c r="AB26" s="1"/>
  <c r="AL6" i="13"/>
  <c r="X6" i="10" s="1"/>
  <c r="V27" i="16"/>
  <c r="V30" s="1"/>
  <c r="V7" i="15"/>
  <c r="AJ7" i="17"/>
  <c r="F20" i="5"/>
  <c r="L10" i="4"/>
  <c r="Z6" i="13"/>
  <c r="AH23" i="12"/>
  <c r="AH26" s="1"/>
  <c r="AN6" i="14"/>
  <c r="J37" i="5"/>
  <c r="H18" i="4"/>
  <c r="AB6" i="14"/>
  <c r="AP6" i="16"/>
  <c r="AN23" i="15"/>
  <c r="AN26" s="1"/>
  <c r="E26" i="5"/>
  <c r="S10" i="4"/>
  <c r="AA10"/>
  <c r="E32" i="5"/>
  <c r="AN23" i="14"/>
  <c r="AN26" s="1"/>
  <c r="AB6" i="12"/>
  <c r="AP6" i="15"/>
  <c r="E15" i="5"/>
  <c r="C11" i="4"/>
  <c r="C15" i="5"/>
  <c r="C16" s="1"/>
  <c r="C17" s="1"/>
  <c r="C18" s="1"/>
  <c r="C19" s="1"/>
  <c r="C20" s="1"/>
  <c r="C21" s="1"/>
  <c r="C22" s="1"/>
  <c r="C23" s="1"/>
  <c r="C24" s="1"/>
  <c r="C25" s="1"/>
  <c r="C26" s="1"/>
  <c r="AN27" i="17"/>
  <c r="AB7" i="16"/>
  <c r="W6" i="7"/>
  <c r="AK6" i="9"/>
  <c r="Y23" i="8"/>
  <c r="Y26" s="1"/>
  <c r="S31" i="5"/>
  <c r="V23" i="8"/>
  <c r="V26" s="1"/>
  <c r="AJ6" i="9"/>
  <c r="V6" i="7"/>
  <c r="W6" i="8"/>
  <c r="AK6" i="10"/>
  <c r="Y23" i="9"/>
  <c r="Y26" s="1"/>
  <c r="AO5" i="7"/>
  <c r="AK19" i="6"/>
  <c r="AK22" s="1"/>
  <c r="E27" i="4"/>
  <c r="T25" i="5"/>
  <c r="AG26" i="4"/>
  <c r="Q43" i="5"/>
  <c r="K150" i="1"/>
  <c r="J151"/>
  <c r="AJ6" i="8"/>
  <c r="V6" i="6"/>
  <c r="V23" i="7"/>
  <c r="V26" s="1"/>
  <c r="K92" i="1"/>
  <c r="J93"/>
  <c r="K93" s="1"/>
  <c r="T27" i="4"/>
  <c r="S37" i="5"/>
  <c r="AN30" i="17" l="1"/>
  <c r="K37" i="5"/>
  <c r="I43"/>
  <c r="P18" i="4" s="1"/>
  <c r="F203" i="5"/>
  <c r="A202"/>
  <c r="Y6" i="11"/>
  <c r="AE23" i="13"/>
  <c r="AE26" s="1"/>
  <c r="AM6" i="12"/>
  <c r="W6" i="9"/>
  <c r="Y23" i="10"/>
  <c r="Y26" s="1"/>
  <c r="AK6" i="11"/>
  <c r="T19" i="5"/>
  <c r="AC18" i="4"/>
  <c r="V13" i="5"/>
  <c r="W13" s="1"/>
  <c r="W18" i="4"/>
  <c r="AE23" i="11"/>
  <c r="AE26" s="1"/>
  <c r="AM6" i="13"/>
  <c r="Y6" i="10" s="1"/>
  <c r="AK7" i="17"/>
  <c r="Y27" i="16"/>
  <c r="Y30" s="1"/>
  <c r="W7" i="15"/>
  <c r="G20" i="5"/>
  <c r="M10" i="4"/>
  <c r="AA6" i="13"/>
  <c r="AK23" i="12"/>
  <c r="AK26" s="1"/>
  <c r="AO6" i="14"/>
  <c r="D38" i="5"/>
  <c r="I18" i="4"/>
  <c r="V27" i="15"/>
  <c r="V30" s="1"/>
  <c r="AJ7" i="16"/>
  <c r="V7" i="14"/>
  <c r="F27" i="5"/>
  <c r="J26"/>
  <c r="T10" i="4"/>
  <c r="H26" i="5"/>
  <c r="I26"/>
  <c r="G26"/>
  <c r="F26"/>
  <c r="AJ7" i="15"/>
  <c r="V7" i="12"/>
  <c r="V27" i="14"/>
  <c r="V30" s="1"/>
  <c r="H32" i="5"/>
  <c r="AE10" i="4" s="1"/>
  <c r="AB10"/>
  <c r="F32" i="5"/>
  <c r="AC10" i="4" s="1"/>
  <c r="J32" i="5"/>
  <c r="G32"/>
  <c r="AD10" i="4" s="1"/>
  <c r="I32" i="5"/>
  <c r="AF10" i="4" s="1"/>
  <c r="D11"/>
  <c r="F15" i="5"/>
  <c r="V31" i="17"/>
  <c r="V34" s="1"/>
  <c r="V8" i="16"/>
  <c r="M27" i="4"/>
  <c r="T31" i="5"/>
  <c r="AK6" i="8"/>
  <c r="Y23" i="7"/>
  <c r="Y26" s="1"/>
  <c r="W6" i="6"/>
  <c r="K151" i="1"/>
  <c r="J152"/>
  <c r="AP5" i="7"/>
  <c r="AN19" i="6"/>
  <c r="AN22" s="1"/>
  <c r="X6" i="8"/>
  <c r="AB23" i="9"/>
  <c r="AB26" s="1"/>
  <c r="AL6" i="10"/>
  <c r="U27" i="4"/>
  <c r="T37" i="5"/>
  <c r="AA27" i="4"/>
  <c r="R43" i="5"/>
  <c r="F27" i="4"/>
  <c r="U25" i="5"/>
  <c r="AA6" i="11" l="1"/>
  <c r="AO6" i="12"/>
  <c r="K26" i="5"/>
  <c r="K32"/>
  <c r="F204"/>
  <c r="A203"/>
  <c r="J43"/>
  <c r="AN6" i="12"/>
  <c r="AH23" i="13"/>
  <c r="AH26" s="1"/>
  <c r="Z6" i="11"/>
  <c r="AB23" i="10"/>
  <c r="AB26" s="1"/>
  <c r="X6" i="9"/>
  <c r="AL6" i="11"/>
  <c r="AD18" i="4"/>
  <c r="U19" i="5"/>
  <c r="X18" i="4"/>
  <c r="AN6" i="13"/>
  <c r="Z6" i="10" s="1"/>
  <c r="AH23" i="11"/>
  <c r="AH26" s="1"/>
  <c r="X7" i="15"/>
  <c r="AL7" i="17"/>
  <c r="AB27" i="16"/>
  <c r="AB30" s="1"/>
  <c r="H20" i="5"/>
  <c r="N10" i="4"/>
  <c r="AP6" i="14"/>
  <c r="AN23" i="12"/>
  <c r="AN26" s="1"/>
  <c r="AB6" i="13"/>
  <c r="C19" i="4"/>
  <c r="E38" i="5"/>
  <c r="J27"/>
  <c r="X10" i="4"/>
  <c r="X8" i="14"/>
  <c r="H27" i="5"/>
  <c r="V10" i="4"/>
  <c r="D27" i="5"/>
  <c r="Y10" i="4"/>
  <c r="G27" i="5"/>
  <c r="U10" i="4"/>
  <c r="W7" i="14"/>
  <c r="Y27" i="15"/>
  <c r="Y30" s="1"/>
  <c r="AK7" i="16"/>
  <c r="W10" i="4"/>
  <c r="I27" i="5"/>
  <c r="AK27" i="14"/>
  <c r="AK30" s="1"/>
  <c r="AA7" i="12"/>
  <c r="AO7" i="15"/>
  <c r="Y27" i="14"/>
  <c r="Y30" s="1"/>
  <c r="AK7" i="15"/>
  <c r="W7" i="12"/>
  <c r="X7"/>
  <c r="AB27" i="14"/>
  <c r="AB30" s="1"/>
  <c r="AL7" i="15"/>
  <c r="D33" i="5"/>
  <c r="AG10" i="4"/>
  <c r="AE27" i="14"/>
  <c r="AE30" s="1"/>
  <c r="Y7" i="12"/>
  <c r="AM7" i="15"/>
  <c r="Z7" i="12"/>
  <c r="AN7" i="15"/>
  <c r="AH27" i="14"/>
  <c r="AH30" s="1"/>
  <c r="Y31" i="17"/>
  <c r="Y34" s="1"/>
  <c r="W8" i="16"/>
  <c r="G15" i="5"/>
  <c r="H15" s="1"/>
  <c r="I15" s="1"/>
  <c r="J15" s="1"/>
  <c r="I11" i="4" s="1"/>
  <c r="AB8" i="16" s="1"/>
  <c r="E11" i="4"/>
  <c r="X6" i="7"/>
  <c r="AL6" i="9"/>
  <c r="AB23" i="8"/>
  <c r="AB26" s="1"/>
  <c r="N27" i="4"/>
  <c r="U31" i="5"/>
  <c r="K152" i="1"/>
  <c r="J153"/>
  <c r="AJ6" i="7"/>
  <c r="V23" i="6"/>
  <c r="V26" s="1"/>
  <c r="AL6" i="8"/>
  <c r="X6" i="6"/>
  <c r="AB23" i="7"/>
  <c r="AB26" s="1"/>
  <c r="AB27" i="4"/>
  <c r="S43" i="5"/>
  <c r="V27" i="4"/>
  <c r="U37" i="5"/>
  <c r="G27" i="4"/>
  <c r="V25" i="5"/>
  <c r="Y6" i="8"/>
  <c r="AM6" i="10"/>
  <c r="AE23" i="9"/>
  <c r="AE26" s="1"/>
  <c r="F205" i="5" l="1"/>
  <c r="A204"/>
  <c r="K15"/>
  <c r="AK23" i="13"/>
  <c r="AK26" s="1"/>
  <c r="X13" i="5"/>
  <c r="D44"/>
  <c r="Q18" i="4"/>
  <c r="K43" i="5"/>
  <c r="V19"/>
  <c r="AE18" i="4"/>
  <c r="AM6" i="11"/>
  <c r="AE23" i="10"/>
  <c r="AE26" s="1"/>
  <c r="Y6" i="9"/>
  <c r="AO6" i="13"/>
  <c r="AA6" i="10" s="1"/>
  <c r="AK23" i="11"/>
  <c r="AK26" s="1"/>
  <c r="Y18" i="4"/>
  <c r="Q14" i="5"/>
  <c r="AE27" i="16"/>
  <c r="AE30" s="1"/>
  <c r="Y7" i="15"/>
  <c r="AM7" i="17"/>
  <c r="O10" i="4"/>
  <c r="I20" i="5"/>
  <c r="J38"/>
  <c r="H38"/>
  <c r="G19" i="4" s="1"/>
  <c r="G38" i="5"/>
  <c r="F19" i="4" s="1"/>
  <c r="F38" i="5"/>
  <c r="E19" i="4" s="1"/>
  <c r="I38" i="5"/>
  <c r="H19" i="4" s="1"/>
  <c r="D19"/>
  <c r="V7" i="13"/>
  <c r="AJ7" i="14"/>
  <c r="V27" i="12"/>
  <c r="V30" s="1"/>
  <c r="U3" i="4"/>
  <c r="V3" s="1"/>
  <c r="AN27" i="15"/>
  <c r="AN30" s="1"/>
  <c r="AP7" i="16"/>
  <c r="S36" s="1"/>
  <c r="W36" s="1"/>
  <c r="AB7" i="14"/>
  <c r="AB8"/>
  <c r="AP8" i="16"/>
  <c r="AB31" i="15" s="1"/>
  <c r="AK27"/>
  <c r="AK30" s="1"/>
  <c r="AO7" i="16"/>
  <c r="AA7" i="14"/>
  <c r="Z7"/>
  <c r="AH27" i="15"/>
  <c r="AH30" s="1"/>
  <c r="AN7" i="16"/>
  <c r="S35" s="1"/>
  <c r="AB27" i="15"/>
  <c r="AB30" s="1"/>
  <c r="AL7" i="16"/>
  <c r="X7" i="14"/>
  <c r="AE27" i="15"/>
  <c r="AE30" s="1"/>
  <c r="Y7" i="14"/>
  <c r="AM7" i="16"/>
  <c r="E27" i="5"/>
  <c r="T11" i="4" s="1"/>
  <c r="C27" i="5"/>
  <c r="C28" s="1"/>
  <c r="C29" s="1"/>
  <c r="C30" s="1"/>
  <c r="C31" s="1"/>
  <c r="C32" s="1"/>
  <c r="C33" s="1"/>
  <c r="C34" s="1"/>
  <c r="C35" s="1"/>
  <c r="C36" s="1"/>
  <c r="C37" s="1"/>
  <c r="C38" s="1"/>
  <c r="E33"/>
  <c r="AA11" i="4"/>
  <c r="AN27" i="14"/>
  <c r="AN30" s="1"/>
  <c r="AP7" i="15"/>
  <c r="AB7" i="12"/>
  <c r="AB31" i="17"/>
  <c r="X8" i="16"/>
  <c r="O27" i="4"/>
  <c r="V31" i="5"/>
  <c r="AE23" i="8"/>
  <c r="AE26" s="1"/>
  <c r="Y6" i="7"/>
  <c r="AM6" i="9"/>
  <c r="AN6" i="10"/>
  <c r="Z6" i="8"/>
  <c r="AH23" i="9"/>
  <c r="AH26" s="1"/>
  <c r="Y23" i="6"/>
  <c r="Y26" s="1"/>
  <c r="AK6" i="7"/>
  <c r="H27" i="4"/>
  <c r="W25" i="5"/>
  <c r="AC27" i="4"/>
  <c r="T43" i="5"/>
  <c r="K153" i="1"/>
  <c r="J154"/>
  <c r="Y6" i="6"/>
  <c r="AM6" i="8"/>
  <c r="AE23" i="7"/>
  <c r="AE26" s="1"/>
  <c r="W27" i="4"/>
  <c r="V37" i="5"/>
  <c r="V7" i="11" l="1"/>
  <c r="K19" i="4"/>
  <c r="F206" i="5"/>
  <c r="A205"/>
  <c r="X25"/>
  <c r="E44"/>
  <c r="AB6" i="11"/>
  <c r="AP6" i="12"/>
  <c r="AN23" i="13"/>
  <c r="AN26" s="1"/>
  <c r="K27" i="5"/>
  <c r="K38"/>
  <c r="AF18" i="4"/>
  <c r="W19" i="5"/>
  <c r="X19" s="1"/>
  <c r="Z6" i="9"/>
  <c r="AN6" i="11"/>
  <c r="AH23" i="10"/>
  <c r="AH26" s="1"/>
  <c r="AN23" i="11"/>
  <c r="AN26" s="1"/>
  <c r="AP6" i="13"/>
  <c r="AB6" i="10" s="1"/>
  <c r="R14" i="5"/>
  <c r="S19" i="4"/>
  <c r="J20" i="5"/>
  <c r="P10" i="4"/>
  <c r="AN7" i="17"/>
  <c r="AH27" i="16"/>
  <c r="AH30" s="1"/>
  <c r="Z7" i="15"/>
  <c r="AA7" i="13"/>
  <c r="AO7" i="14"/>
  <c r="AK27" i="12"/>
  <c r="AK30" s="1"/>
  <c r="D39" i="5"/>
  <c r="I19" i="4"/>
  <c r="AK7" i="14"/>
  <c r="W7" i="13"/>
  <c r="Y27" i="12"/>
  <c r="Y30" s="1"/>
  <c r="AN7" i="14"/>
  <c r="Z7" i="13"/>
  <c r="AH27" i="12"/>
  <c r="AH30" s="1"/>
  <c r="Y7" i="13"/>
  <c r="AE27" i="12"/>
  <c r="AE30" s="1"/>
  <c r="AM7" i="14"/>
  <c r="AB27" i="12"/>
  <c r="AB30" s="1"/>
  <c r="X7" i="13"/>
  <c r="AL7" i="14"/>
  <c r="V8"/>
  <c r="V31" i="15"/>
  <c r="AJ8" i="16"/>
  <c r="W8" i="14"/>
  <c r="Y31" i="15"/>
  <c r="AB11" i="4"/>
  <c r="F33" i="5"/>
  <c r="AJ8" i="15"/>
  <c r="V8" i="12"/>
  <c r="Z6" i="7"/>
  <c r="AH23" i="8"/>
  <c r="AH26" s="1"/>
  <c r="AN6" i="9"/>
  <c r="W31" i="5"/>
  <c r="P27" i="4"/>
  <c r="AK23" i="9"/>
  <c r="AK26" s="1"/>
  <c r="AO6" i="10"/>
  <c r="AA6" i="8"/>
  <c r="X27" i="4"/>
  <c r="W37" i="5"/>
  <c r="I27" i="4"/>
  <c r="Q26" i="5"/>
  <c r="K154" i="1"/>
  <c r="J155"/>
  <c r="AL6" i="7"/>
  <c r="AB23" i="6"/>
  <c r="AB26" s="1"/>
  <c r="AH23" i="7"/>
  <c r="AH26" s="1"/>
  <c r="Z6" i="6"/>
  <c r="AN6" i="8"/>
  <c r="AD27" i="4"/>
  <c r="U43" i="5"/>
  <c r="X37" l="1"/>
  <c r="G44"/>
  <c r="N19" i="4" s="1"/>
  <c r="I44" i="5"/>
  <c r="P19" i="4" s="1"/>
  <c r="J44" i="5"/>
  <c r="H44"/>
  <c r="O19" i="4" s="1"/>
  <c r="F44" i="5"/>
  <c r="M19" i="4" s="1"/>
  <c r="L19"/>
  <c r="AJ7" i="12"/>
  <c r="V27" i="13"/>
  <c r="V30" s="1"/>
  <c r="C39" i="5"/>
  <c r="C40" s="1"/>
  <c r="C41" s="1"/>
  <c r="C42" s="1"/>
  <c r="C43" s="1"/>
  <c r="C44" s="1"/>
  <c r="Q10" i="4"/>
  <c r="AN27" i="16" s="1"/>
  <c r="AN30" s="1"/>
  <c r="K20" i="5"/>
  <c r="F207"/>
  <c r="A206"/>
  <c r="X31"/>
  <c r="AK23" i="10"/>
  <c r="AK26" s="1"/>
  <c r="AA6" i="9"/>
  <c r="AO6" i="11"/>
  <c r="Q20" i="5"/>
  <c r="AG18" i="4"/>
  <c r="V14" i="5"/>
  <c r="X19" i="4" s="1"/>
  <c r="T19"/>
  <c r="S14" i="5"/>
  <c r="U19" i="4" s="1"/>
  <c r="U14" i="5"/>
  <c r="W19" i="4" s="1"/>
  <c r="W14" i="5"/>
  <c r="T14"/>
  <c r="V19" i="4" s="1"/>
  <c r="V27" i="11"/>
  <c r="V30" s="1"/>
  <c r="AJ7" i="13"/>
  <c r="V7" i="10" s="1"/>
  <c r="AK27" i="16"/>
  <c r="AK30" s="1"/>
  <c r="AO7" i="17"/>
  <c r="AA7" i="15"/>
  <c r="AN27" i="12"/>
  <c r="AN30" s="1"/>
  <c r="AP7" i="14"/>
  <c r="AB7" i="13"/>
  <c r="C20" i="4"/>
  <c r="E39" i="5"/>
  <c r="W8" i="12"/>
  <c r="G33" i="5"/>
  <c r="AA6" i="7"/>
  <c r="AO6" i="9"/>
  <c r="AK23" i="8"/>
  <c r="AK26" s="1"/>
  <c r="Q27" i="4"/>
  <c r="Q32" i="5"/>
  <c r="AN23" i="9"/>
  <c r="AN26" s="1"/>
  <c r="AB6" i="8"/>
  <c r="AP6" i="10"/>
  <c r="Y27" i="4"/>
  <c r="Q38" i="5"/>
  <c r="C28" i="4"/>
  <c r="R26" i="5"/>
  <c r="AE27" i="4"/>
  <c r="V43" i="5"/>
  <c r="AM6" i="7"/>
  <c r="AE23" i="6"/>
  <c r="AE26" s="1"/>
  <c r="K155" i="1"/>
  <c r="J156"/>
  <c r="AO6" i="8"/>
  <c r="AA6" i="6"/>
  <c r="AK23" i="7"/>
  <c r="AK26" s="1"/>
  <c r="AB7" i="15" l="1"/>
  <c r="K44" i="5"/>
  <c r="AP7" i="17"/>
  <c r="Q19" i="4"/>
  <c r="D45" i="5"/>
  <c r="AN7" i="12"/>
  <c r="Z7" i="11"/>
  <c r="AH27" i="13"/>
  <c r="AH30" s="1"/>
  <c r="X14" i="5"/>
  <c r="AB27" i="13"/>
  <c r="AB30" s="1"/>
  <c r="X7" i="11"/>
  <c r="AL7" i="12"/>
  <c r="AE27" i="13"/>
  <c r="AE30" s="1"/>
  <c r="Y7" i="11"/>
  <c r="AM7" i="12"/>
  <c r="F208" i="5"/>
  <c r="A207"/>
  <c r="AK7" i="12"/>
  <c r="Y27" i="13"/>
  <c r="Y30" s="1"/>
  <c r="W7" i="11"/>
  <c r="AK27" i="13"/>
  <c r="AK30" s="1"/>
  <c r="AA7" i="11"/>
  <c r="AO7" i="12"/>
  <c r="AN23" i="10"/>
  <c r="AN26" s="1"/>
  <c r="AB6" i="9"/>
  <c r="AP6" i="11"/>
  <c r="R20" i="5"/>
  <c r="AA19" i="4"/>
  <c r="Y19"/>
  <c r="Q15" i="5"/>
  <c r="AO7" i="13"/>
  <c r="AA7" i="10" s="1"/>
  <c r="AK27" i="11"/>
  <c r="AK30" s="1"/>
  <c r="AE27"/>
  <c r="AE30" s="1"/>
  <c r="AM7" i="13"/>
  <c r="Y7" i="10" s="1"/>
  <c r="AK7" i="13"/>
  <c r="W7" i="10" s="1"/>
  <c r="Y27" i="11"/>
  <c r="Y30" s="1"/>
  <c r="AL7" i="13"/>
  <c r="X7" i="10" s="1"/>
  <c r="AB27" i="11"/>
  <c r="AB30" s="1"/>
  <c r="AH27"/>
  <c r="AH30" s="1"/>
  <c r="AN7" i="13"/>
  <c r="Z7" i="10" s="1"/>
  <c r="D20" i="4"/>
  <c r="F39" i="5"/>
  <c r="V8" i="13"/>
  <c r="V31" i="12"/>
  <c r="V34" s="1"/>
  <c r="AJ8" i="14"/>
  <c r="H33" i="5"/>
  <c r="X8" i="12"/>
  <c r="R32" i="5"/>
  <c r="K28" i="4"/>
  <c r="AP6" i="9"/>
  <c r="AB6" i="7"/>
  <c r="AN23" i="8"/>
  <c r="AN26" s="1"/>
  <c r="K156" i="1"/>
  <c r="J157"/>
  <c r="AH23" i="6"/>
  <c r="AH26" s="1"/>
  <c r="AN6" i="7"/>
  <c r="AJ7" i="10"/>
  <c r="V27" i="9"/>
  <c r="V30" s="1"/>
  <c r="V7" i="8"/>
  <c r="AF27" i="4"/>
  <c r="W43" i="5"/>
  <c r="T26"/>
  <c r="F28" i="4" s="1"/>
  <c r="V26" i="5"/>
  <c r="H28" i="4" s="1"/>
  <c r="U26" i="5"/>
  <c r="G28" i="4" s="1"/>
  <c r="W26" i="5"/>
  <c r="D28" i="4"/>
  <c r="S26" i="5"/>
  <c r="E28" i="4" s="1"/>
  <c r="AP6" i="8"/>
  <c r="AB6" i="6"/>
  <c r="AN23" i="7"/>
  <c r="AN26" s="1"/>
  <c r="R38" i="5"/>
  <c r="S28" i="4"/>
  <c r="X43" i="5" l="1"/>
  <c r="K20" i="4"/>
  <c r="E45" i="5"/>
  <c r="C45"/>
  <c r="P10" s="1"/>
  <c r="P11" s="1"/>
  <c r="P12" s="1"/>
  <c r="P13" s="1"/>
  <c r="P14" s="1"/>
  <c r="P15" s="1"/>
  <c r="P16" s="1"/>
  <c r="P17" s="1"/>
  <c r="P18" s="1"/>
  <c r="P19" s="1"/>
  <c r="P20" s="1"/>
  <c r="F209"/>
  <c r="A208"/>
  <c r="AP7" i="12"/>
  <c r="AB7" i="11"/>
  <c r="AN27" i="13"/>
  <c r="AN30" s="1"/>
  <c r="X26" i="5"/>
  <c r="AJ7" i="11"/>
  <c r="V27" i="10"/>
  <c r="V30" s="1"/>
  <c r="V7" i="9"/>
  <c r="T20" i="5"/>
  <c r="AD19" i="4" s="1"/>
  <c r="W20" i="5"/>
  <c r="U20"/>
  <c r="AE19" i="4" s="1"/>
  <c r="AB19"/>
  <c r="S20" i="5"/>
  <c r="V20"/>
  <c r="AF19" i="4" s="1"/>
  <c r="AN27" i="11"/>
  <c r="AN30" s="1"/>
  <c r="AP7" i="13"/>
  <c r="AB7" i="10" s="1"/>
  <c r="S20" i="4"/>
  <c r="R15" i="5"/>
  <c r="W8" i="13"/>
  <c r="Y31" i="12"/>
  <c r="Y34" s="1"/>
  <c r="AK8" i="14"/>
  <c r="G39" i="5"/>
  <c r="E20" i="4"/>
  <c r="I33" i="5"/>
  <c r="AJ7" i="9"/>
  <c r="V7" i="7"/>
  <c r="V27" i="8"/>
  <c r="V30" s="1"/>
  <c r="L28" i="4"/>
  <c r="S32" i="5"/>
  <c r="M28" i="4" s="1"/>
  <c r="U32" i="5"/>
  <c r="O28" i="4" s="1"/>
  <c r="T32" i="5"/>
  <c r="N28" i="4" s="1"/>
  <c r="W32" i="5"/>
  <c r="V32"/>
  <c r="P28" i="4" s="1"/>
  <c r="V27" i="7"/>
  <c r="V30" s="1"/>
  <c r="AJ7" i="8"/>
  <c r="V7" i="6"/>
  <c r="I28" i="4"/>
  <c r="Q27" i="5"/>
  <c r="W7" i="8"/>
  <c r="AK7" i="10"/>
  <c r="Y27" i="9"/>
  <c r="Y30" s="1"/>
  <c r="AM7" i="10"/>
  <c r="AE27" i="9"/>
  <c r="AE30" s="1"/>
  <c r="Y7" i="8"/>
  <c r="AK23" i="6"/>
  <c r="AK26" s="1"/>
  <c r="AO6" i="7"/>
  <c r="K157" i="1"/>
  <c r="J158"/>
  <c r="X7" i="8"/>
  <c r="AB27" i="9"/>
  <c r="AB30" s="1"/>
  <c r="AL7" i="10"/>
  <c r="AA7" i="8"/>
  <c r="AO7" i="10"/>
  <c r="AK27" i="9"/>
  <c r="AK30" s="1"/>
  <c r="Q44" i="5"/>
  <c r="AG27" i="4"/>
  <c r="T28"/>
  <c r="V38" i="5"/>
  <c r="X28" i="4" s="1"/>
  <c r="S38" i="5"/>
  <c r="U38"/>
  <c r="W28" i="4" s="1"/>
  <c r="T38" i="5"/>
  <c r="V28" i="4" s="1"/>
  <c r="W38" i="5"/>
  <c r="AH27" i="9"/>
  <c r="AH30" s="1"/>
  <c r="AN7" i="10"/>
  <c r="Z7" i="8"/>
  <c r="AM7" i="11" l="1"/>
  <c r="Y7" i="9"/>
  <c r="X38" i="5"/>
  <c r="X20"/>
  <c r="F210"/>
  <c r="A209"/>
  <c r="AJ8" i="12"/>
  <c r="V8" i="11"/>
  <c r="V31" i="13"/>
  <c r="V34" s="1"/>
  <c r="U28" i="4"/>
  <c r="AB27" i="7" s="1"/>
  <c r="AB30" s="1"/>
  <c r="S46" i="12"/>
  <c r="N37" s="1"/>
  <c r="I34" i="4"/>
  <c r="V44" i="11" s="1"/>
  <c r="F45" i="5"/>
  <c r="L20" i="4"/>
  <c r="AC19"/>
  <c r="AB27" i="10" s="1"/>
  <c r="AB30" s="1"/>
  <c r="X32" i="5"/>
  <c r="AK27" i="10"/>
  <c r="AK30" s="1"/>
  <c r="AO7" i="11"/>
  <c r="AA7" i="9"/>
  <c r="Q21" i="5"/>
  <c r="AG19" i="4"/>
  <c r="AN7" i="11"/>
  <c r="AH27" i="10"/>
  <c r="AH30" s="1"/>
  <c r="Z7" i="9"/>
  <c r="Y27" i="10"/>
  <c r="Y30" s="1"/>
  <c r="AK7" i="11"/>
  <c r="W7" i="9"/>
  <c r="AE27" i="10"/>
  <c r="V31" i="11"/>
  <c r="V34" s="1"/>
  <c r="AJ8" i="13"/>
  <c r="V8" i="10" s="1"/>
  <c r="S15" i="5"/>
  <c r="T20" i="4"/>
  <c r="AL8" i="14"/>
  <c r="AB31" i="12"/>
  <c r="X8" i="13"/>
  <c r="F20" i="4"/>
  <c r="H39" i="5"/>
  <c r="J33"/>
  <c r="AA7" i="7"/>
  <c r="AK27" i="8"/>
  <c r="AK30" s="1"/>
  <c r="AO7" i="9"/>
  <c r="AB27" i="8"/>
  <c r="AB30" s="1"/>
  <c r="AL7" i="9"/>
  <c r="X7" i="7"/>
  <c r="AH27" i="8"/>
  <c r="AH30" s="1"/>
  <c r="AN7" i="9"/>
  <c r="Z7" i="7"/>
  <c r="AM7" i="9"/>
  <c r="AE27" i="8"/>
  <c r="AE30" s="1"/>
  <c r="Y7" i="7"/>
  <c r="Q33" i="5"/>
  <c r="Q28" i="4"/>
  <c r="Y27" i="8"/>
  <c r="Y30" s="1"/>
  <c r="AK7" i="9"/>
  <c r="W7" i="7"/>
  <c r="Z7" i="6"/>
  <c r="AH27" i="7"/>
  <c r="AH30" s="1"/>
  <c r="AN7" i="8"/>
  <c r="C29" i="4"/>
  <c r="R27" i="5"/>
  <c r="J159" i="1"/>
  <c r="K158"/>
  <c r="Y7" i="6"/>
  <c r="AM7" i="8"/>
  <c r="AE27" i="7"/>
  <c r="AE30" s="1"/>
  <c r="W7" i="6"/>
  <c r="AK7" i="8"/>
  <c r="Y27" i="7"/>
  <c r="Y30" s="1"/>
  <c r="AA28" i="4"/>
  <c r="R44" i="5"/>
  <c r="Y28" i="4"/>
  <c r="Q39" i="5"/>
  <c r="AO7" i="8"/>
  <c r="AA7" i="6"/>
  <c r="AK27" i="7"/>
  <c r="AK30" s="1"/>
  <c r="AP6"/>
  <c r="AN23" i="6"/>
  <c r="AN26" s="1"/>
  <c r="AP7" i="10"/>
  <c r="AN27" i="9"/>
  <c r="AN30" s="1"/>
  <c r="AB7" i="8"/>
  <c r="AE30" i="10" l="1"/>
  <c r="AL7" i="8"/>
  <c r="X7" i="6"/>
  <c r="X7" i="9"/>
  <c r="AL7" i="11"/>
  <c r="G45" i="5"/>
  <c r="M20" i="4"/>
  <c r="F211" i="5"/>
  <c r="A210"/>
  <c r="AB8" i="12"/>
  <c r="K33" i="5"/>
  <c r="AK8" i="12"/>
  <c r="W8" i="11"/>
  <c r="Y31" i="13"/>
  <c r="Y34" s="1"/>
  <c r="AN27" i="10"/>
  <c r="AN30" s="1"/>
  <c r="AP7" i="11"/>
  <c r="AB7" i="9"/>
  <c r="R21" i="5"/>
  <c r="AA20" i="4"/>
  <c r="P21" i="5"/>
  <c r="P22" s="1"/>
  <c r="P23" s="1"/>
  <c r="P24" s="1"/>
  <c r="P25" s="1"/>
  <c r="P26" s="1"/>
  <c r="P27" s="1"/>
  <c r="P28" s="1"/>
  <c r="P29" s="1"/>
  <c r="P30" s="1"/>
  <c r="P31" s="1"/>
  <c r="P32" s="1"/>
  <c r="P33" s="1"/>
  <c r="P34" s="1"/>
  <c r="P35" s="1"/>
  <c r="P36" s="1"/>
  <c r="P37" s="1"/>
  <c r="P38" s="1"/>
  <c r="P39" s="1"/>
  <c r="P40" s="1"/>
  <c r="P41" s="1"/>
  <c r="P42" s="1"/>
  <c r="P43" s="1"/>
  <c r="P44" s="1"/>
  <c r="T15"/>
  <c r="U20" i="4"/>
  <c r="Y31" i="11"/>
  <c r="Y34" s="1"/>
  <c r="AK8" i="13"/>
  <c r="W8" i="10" s="1"/>
  <c r="G20" i="4"/>
  <c r="I39" i="5"/>
  <c r="AM8" i="14"/>
  <c r="Y8" i="13"/>
  <c r="AN27" i="8"/>
  <c r="AN30" s="1"/>
  <c r="AB7" i="7"/>
  <c r="K31" i="4"/>
  <c r="L31" s="1"/>
  <c r="AP7" i="9"/>
  <c r="R33" i="5"/>
  <c r="K29" i="4"/>
  <c r="S29"/>
  <c r="R39" i="5"/>
  <c r="V27" i="6"/>
  <c r="V30" s="1"/>
  <c r="AJ7" i="7"/>
  <c r="S44" i="5"/>
  <c r="AC28" i="4" s="1"/>
  <c r="AB28"/>
  <c r="T44" i="5"/>
  <c r="AD28" i="4" s="1"/>
  <c r="V44" i="5"/>
  <c r="AF28" i="4" s="1"/>
  <c r="U44" i="5"/>
  <c r="AE28" i="4" s="1"/>
  <c r="W44" i="5"/>
  <c r="K159" i="1"/>
  <c r="J160"/>
  <c r="AJ8" i="10"/>
  <c r="V8" i="8"/>
  <c r="V31" i="9"/>
  <c r="V34" s="1"/>
  <c r="AP7" i="8"/>
  <c r="AN27" i="7"/>
  <c r="AN30" s="1"/>
  <c r="AB7" i="6"/>
  <c r="D29" i="4"/>
  <c r="S27" i="5"/>
  <c r="AP8" i="15" l="1"/>
  <c r="AB31" i="14" s="1"/>
  <c r="AB31" i="13"/>
  <c r="AL8" i="12"/>
  <c r="X8" i="11"/>
  <c r="X44" i="5"/>
  <c r="F212"/>
  <c r="A211"/>
  <c r="N20" i="4"/>
  <c r="H45" i="5"/>
  <c r="V8" i="9"/>
  <c r="V31" i="10"/>
  <c r="V34" s="1"/>
  <c r="AJ8" i="11"/>
  <c r="AB20" i="4"/>
  <c r="S21" i="5"/>
  <c r="U15"/>
  <c r="V20" i="4"/>
  <c r="AM8" i="13" s="1"/>
  <c r="Y8" i="10" s="1"/>
  <c r="AB31" i="11"/>
  <c r="AL8" i="13"/>
  <c r="X8" i="10" s="1"/>
  <c r="Z8" i="13"/>
  <c r="AN8" i="14"/>
  <c r="H20" i="4"/>
  <c r="J39" i="5"/>
  <c r="L29" i="4"/>
  <c r="S33" i="5"/>
  <c r="AJ8" i="9"/>
  <c r="V8" i="7"/>
  <c r="V31" i="8"/>
  <c r="V34" s="1"/>
  <c r="K160" i="1"/>
  <c r="J161"/>
  <c r="AO7" i="7"/>
  <c r="AK27" i="6"/>
  <c r="AK30" s="1"/>
  <c r="S39" i="5"/>
  <c r="T29" i="4"/>
  <c r="AN7" i="7"/>
  <c r="AH27" i="6"/>
  <c r="AH30" s="1"/>
  <c r="AL7" i="7"/>
  <c r="AB27" i="6"/>
  <c r="AB30" s="1"/>
  <c r="AK8" i="10"/>
  <c r="W8" i="8"/>
  <c r="Y31" i="9"/>
  <c r="Y34" s="1"/>
  <c r="E29" i="4"/>
  <c r="T27" i="5"/>
  <c r="AG28" i="4"/>
  <c r="Q45" i="5"/>
  <c r="AK7" i="7"/>
  <c r="Y27" i="6"/>
  <c r="Y30" s="1"/>
  <c r="AM7" i="7"/>
  <c r="AE27" i="6"/>
  <c r="AE30" s="1"/>
  <c r="AJ8" i="8"/>
  <c r="V8" i="6"/>
  <c r="V31" i="7"/>
  <c r="V34" s="1"/>
  <c r="O20" i="4" l="1"/>
  <c r="I45" i="5"/>
  <c r="F213"/>
  <c r="A212"/>
  <c r="AM8" i="12"/>
  <c r="Y8" i="11"/>
  <c r="I20" i="4"/>
  <c r="AP8" i="14" s="1"/>
  <c r="K39" i="5"/>
  <c r="AC20" i="4"/>
  <c r="T21" i="5"/>
  <c r="AK8" i="11"/>
  <c r="W8" i="9"/>
  <c r="Y31" i="10"/>
  <c r="Y34" s="1"/>
  <c r="W20" i="4"/>
  <c r="AN8" i="13" s="1"/>
  <c r="Z8" i="10" s="1"/>
  <c r="V15" i="5"/>
  <c r="AA8" i="13"/>
  <c r="AO8" i="14"/>
  <c r="M29" i="4"/>
  <c r="T33" i="5"/>
  <c r="W8" i="7"/>
  <c r="AK8" i="9"/>
  <c r="Y31" i="8"/>
  <c r="Y34" s="1"/>
  <c r="F29" i="4"/>
  <c r="U27" i="5"/>
  <c r="U29" i="4"/>
  <c r="T39" i="5"/>
  <c r="AP7" i="7"/>
  <c r="AN27" i="6"/>
  <c r="AN30" s="1"/>
  <c r="W8"/>
  <c r="AK8" i="8"/>
  <c r="Y31" i="7"/>
  <c r="Y34" s="1"/>
  <c r="AA29" i="4"/>
  <c r="P45" i="5"/>
  <c r="R45"/>
  <c r="AB31" i="9"/>
  <c r="AL8" i="10"/>
  <c r="X8" i="8"/>
  <c r="K161" i="1"/>
  <c r="J162"/>
  <c r="AB8" i="13" l="1"/>
  <c r="J45" i="5"/>
  <c r="P20" i="4"/>
  <c r="Z8" i="11"/>
  <c r="AN8" i="12"/>
  <c r="F214" i="5"/>
  <c r="A213"/>
  <c r="AL8" i="11"/>
  <c r="AB31" i="10"/>
  <c r="X8" i="9"/>
  <c r="U21" i="5"/>
  <c r="AD20" i="4"/>
  <c r="X20"/>
  <c r="AO8" i="13" s="1"/>
  <c r="AA8" i="10" s="1"/>
  <c r="W15" i="5"/>
  <c r="N29" i="4"/>
  <c r="U33" i="5"/>
  <c r="AB31" i="8"/>
  <c r="X8" i="7"/>
  <c r="AL8" i="9"/>
  <c r="AM8" i="10"/>
  <c r="Y8" i="8"/>
  <c r="K162" i="1"/>
  <c r="J163"/>
  <c r="AJ8" i="7"/>
  <c r="V31" i="6"/>
  <c r="V34" s="1"/>
  <c r="G29" i="4"/>
  <c r="V27" i="5"/>
  <c r="AL8" i="8"/>
  <c r="X8" i="6"/>
  <c r="AB31" i="7"/>
  <c r="AB29" i="4"/>
  <c r="S45" i="5"/>
  <c r="U39"/>
  <c r="V29" i="4"/>
  <c r="Q20" l="1"/>
  <c r="K45" i="5"/>
  <c r="K46" s="1"/>
  <c r="AO8" i="12"/>
  <c r="AA8" i="11"/>
  <c r="F215" i="5"/>
  <c r="A214"/>
  <c r="Y20" i="4"/>
  <c r="AP8" i="13" s="1"/>
  <c r="AB8" i="10" s="1"/>
  <c r="X15" i="5"/>
  <c r="Y8" i="9"/>
  <c r="AM8" i="11"/>
  <c r="AE20" i="4"/>
  <c r="V21" i="5"/>
  <c r="V33"/>
  <c r="O29" i="4"/>
  <c r="Y8" i="7"/>
  <c r="AM8" i="9"/>
  <c r="AN8" i="10"/>
  <c r="Z8" i="8"/>
  <c r="W27" i="5"/>
  <c r="H29" i="4"/>
  <c r="V39" i="5"/>
  <c r="W29" i="4"/>
  <c r="Y31" i="6"/>
  <c r="Y34" s="1"/>
  <c r="AK8" i="7"/>
  <c r="J164" i="1"/>
  <c r="K163"/>
  <c r="AM8" i="8"/>
  <c r="Y8" i="6"/>
  <c r="AC29" i="4"/>
  <c r="T45" i="5"/>
  <c r="AB8" i="11" l="1"/>
  <c r="AP8" i="12"/>
  <c r="I29" i="4"/>
  <c r="AP8" i="10" s="1"/>
  <c r="X27" i="5"/>
  <c r="F216"/>
  <c r="A215"/>
  <c r="Z8" i="9"/>
  <c r="AN8" i="11"/>
  <c r="AF20" i="4"/>
  <c r="W21" i="5"/>
  <c r="Z8" i="7"/>
  <c r="AN8" i="9"/>
  <c r="W33" i="5"/>
  <c r="P29" i="4"/>
  <c r="AB31" i="6"/>
  <c r="AL8" i="7"/>
  <c r="X29" i="4"/>
  <c r="W39" i="5"/>
  <c r="U45"/>
  <c r="AD29" i="4"/>
  <c r="AM8" i="7" s="1"/>
  <c r="AN8" i="8"/>
  <c r="Z8" i="6"/>
  <c r="K164" i="1"/>
  <c r="J165"/>
  <c r="AA8" i="8"/>
  <c r="AO8" i="10"/>
  <c r="AB8" i="8" l="1"/>
  <c r="Q29" i="4"/>
  <c r="AP8" i="9" s="1"/>
  <c r="X33" i="5"/>
  <c r="F217"/>
  <c r="A216"/>
  <c r="Y29" i="4"/>
  <c r="AP8" i="8" s="1"/>
  <c r="X39" i="5"/>
  <c r="AG20" i="4"/>
  <c r="AB8" i="9" s="1"/>
  <c r="X21" i="5"/>
  <c r="AA8" i="9"/>
  <c r="AO8" i="11"/>
  <c r="AA8" i="7"/>
  <c r="AO8" i="9"/>
  <c r="AE29" i="4"/>
  <c r="AN8" i="7" s="1"/>
  <c r="V45" i="5"/>
  <c r="AO8" i="8"/>
  <c r="AA8" i="6"/>
  <c r="K165" i="1"/>
  <c r="J166"/>
  <c r="AB8" i="6" l="1"/>
  <c r="AB8" i="7"/>
  <c r="AP8" i="11"/>
  <c r="F218" i="5"/>
  <c r="A217"/>
  <c r="AF29" i="4"/>
  <c r="AO8" i="7" s="1"/>
  <c r="W45" i="5"/>
  <c r="K166" i="1"/>
  <c r="J167"/>
  <c r="AG29" i="4" l="1"/>
  <c r="AP8" i="7" s="1"/>
  <c r="X45" i="5"/>
  <c r="X46" s="1"/>
  <c r="X47" s="1"/>
  <c r="F219"/>
  <c r="A218"/>
  <c r="J168" i="1"/>
  <c r="K167"/>
  <c r="F220" i="5" l="1"/>
  <c r="A219"/>
  <c r="J169" i="1"/>
  <c r="K168"/>
  <c r="F221" i="5" l="1"/>
  <c r="A220"/>
  <c r="J170" i="1"/>
  <c r="K169"/>
  <c r="F222" i="5" l="1"/>
  <c r="A221"/>
  <c r="K170" i="1"/>
  <c r="J171"/>
  <c r="F223" i="5" l="1"/>
  <c r="A222"/>
  <c r="K171" i="1"/>
  <c r="J172"/>
  <c r="F224" i="5" l="1"/>
  <c r="A223"/>
  <c r="K172" i="1"/>
  <c r="J173"/>
  <c r="F225" i="5" l="1"/>
  <c r="A224"/>
  <c r="K173" i="1"/>
  <c r="J174"/>
  <c r="F226" i="5" l="1"/>
  <c r="A226" s="1"/>
  <c r="L10" s="1"/>
  <c r="A225"/>
  <c r="K174" i="1"/>
  <c r="J175"/>
  <c r="Y39" i="5" l="1"/>
  <c r="L27"/>
  <c r="L45"/>
  <c r="L39"/>
  <c r="Y21"/>
  <c r="L15"/>
  <c r="Y33"/>
  <c r="L33"/>
  <c r="Y15"/>
  <c r="M21"/>
  <c r="Z15"/>
  <c r="M15"/>
  <c r="Z45"/>
  <c r="M27"/>
  <c r="M45"/>
  <c r="Z27"/>
  <c r="M33"/>
  <c r="Z21"/>
  <c r="Z39"/>
  <c r="M39"/>
  <c r="L16"/>
  <c r="L28"/>
  <c r="L34"/>
  <c r="L11"/>
  <c r="L22"/>
  <c r="Y10"/>
  <c r="L29"/>
  <c r="L40"/>
  <c r="Y16"/>
  <c r="L17"/>
  <c r="L41"/>
  <c r="Y22"/>
  <c r="Y35"/>
  <c r="L23"/>
  <c r="Y28"/>
  <c r="Y11"/>
  <c r="Y40"/>
  <c r="Y34"/>
  <c r="Y41"/>
  <c r="L35"/>
  <c r="Z33"/>
  <c r="L24"/>
  <c r="Y29"/>
  <c r="L12"/>
  <c r="L42"/>
  <c r="Y17"/>
  <c r="Y23"/>
  <c r="L36"/>
  <c r="L18"/>
  <c r="L30"/>
  <c r="L14"/>
  <c r="L19"/>
  <c r="L13"/>
  <c r="Y36"/>
  <c r="Y24"/>
  <c r="Y12"/>
  <c r="L43"/>
  <c r="L26"/>
  <c r="Y30"/>
  <c r="Y18"/>
  <c r="L32"/>
  <c r="L37"/>
  <c r="Y42"/>
  <c r="L38"/>
  <c r="L25"/>
  <c r="L31"/>
  <c r="Y14"/>
  <c r="Y25"/>
  <c r="Y31"/>
  <c r="Y13"/>
  <c r="Y26"/>
  <c r="Y44"/>
  <c r="Y32"/>
  <c r="Y37"/>
  <c r="Y19"/>
  <c r="L44"/>
  <c r="L20"/>
  <c r="Y20"/>
  <c r="Y43"/>
  <c r="Y38"/>
  <c r="Y27"/>
  <c r="Y45"/>
  <c r="J176" i="1"/>
  <c r="K175"/>
  <c r="Y46" i="5" l="1"/>
  <c r="L46"/>
  <c r="K176" i="1"/>
  <c r="J177"/>
  <c r="Y47" i="5" l="1"/>
  <c r="K177" i="1"/>
  <c r="J178"/>
  <c r="K178" l="1"/>
  <c r="J179"/>
  <c r="J180" l="1"/>
  <c r="K179"/>
  <c r="K180" l="1"/>
  <c r="J181"/>
  <c r="K181" l="1"/>
  <c r="J182"/>
  <c r="K182" l="1"/>
  <c r="J183"/>
  <c r="J184" l="1"/>
  <c r="K183"/>
  <c r="K184" l="1"/>
  <c r="J185"/>
  <c r="J186" l="1"/>
  <c r="K185"/>
  <c r="K186" l="1"/>
  <c r="J187"/>
  <c r="K187" l="1"/>
  <c r="J188"/>
  <c r="K188" l="1"/>
  <c r="J189"/>
  <c r="K189" l="1"/>
  <c r="J190"/>
  <c r="K190" l="1"/>
  <c r="J191"/>
  <c r="J192" l="1"/>
  <c r="K191"/>
  <c r="K192" l="1"/>
  <c r="J193"/>
  <c r="K193" l="1"/>
  <c r="J194"/>
  <c r="J195" l="1"/>
  <c r="K194"/>
  <c r="J196" l="1"/>
  <c r="K195"/>
  <c r="K196" l="1"/>
  <c r="J197"/>
  <c r="K197" l="1"/>
  <c r="J198"/>
  <c r="K198" l="1"/>
  <c r="J199"/>
  <c r="J200" l="1"/>
  <c r="K199"/>
  <c r="J201" l="1"/>
  <c r="K200"/>
  <c r="J202" l="1"/>
  <c r="K201"/>
  <c r="K202" l="1"/>
  <c r="J203"/>
  <c r="K203" l="1"/>
  <c r="J204"/>
  <c r="K204" l="1"/>
  <c r="J205"/>
  <c r="K205" l="1"/>
  <c r="J206"/>
  <c r="K206" l="1"/>
  <c r="J207"/>
  <c r="J208" l="1"/>
  <c r="K207"/>
  <c r="K208" l="1"/>
  <c r="J209"/>
  <c r="K209" l="1"/>
  <c r="J210"/>
  <c r="J211" l="1"/>
  <c r="K210"/>
  <c r="J212" l="1"/>
  <c r="K211"/>
  <c r="K212" l="1"/>
  <c r="J213"/>
  <c r="K213" l="1"/>
  <c r="J214"/>
  <c r="K214" l="1"/>
  <c r="J215"/>
  <c r="J216" l="1"/>
  <c r="K215"/>
  <c r="K216" l="1"/>
  <c r="J217"/>
  <c r="J218" l="1"/>
  <c r="K217"/>
  <c r="K218" l="1"/>
  <c r="J219"/>
  <c r="K219" l="1"/>
  <c r="J220"/>
  <c r="K220" l="1"/>
  <c r="J221"/>
  <c r="K221" l="1"/>
  <c r="J222"/>
  <c r="K222" l="1"/>
  <c r="J223"/>
  <c r="J224" l="1"/>
  <c r="K223"/>
  <c r="K224" l="1"/>
  <c r="J225"/>
  <c r="K225" l="1"/>
  <c r="J226"/>
  <c r="K226" l="1"/>
  <c r="J227"/>
  <c r="J228" l="1"/>
  <c r="K227"/>
  <c r="K228" l="1"/>
  <c r="J229"/>
  <c r="K229" l="1"/>
  <c r="J230"/>
  <c r="K230" l="1"/>
  <c r="J231"/>
  <c r="J232" l="1"/>
  <c r="K231"/>
  <c r="J233" l="1"/>
  <c r="K232"/>
  <c r="J234" l="1"/>
  <c r="K233"/>
  <c r="K234" l="1"/>
  <c r="J235"/>
  <c r="K235" l="1"/>
  <c r="J236"/>
  <c r="K236" l="1"/>
  <c r="J237"/>
  <c r="K237" l="1"/>
  <c r="J238"/>
  <c r="K238" l="1"/>
  <c r="J239"/>
  <c r="J240" l="1"/>
  <c r="K239"/>
  <c r="K240" l="1"/>
  <c r="J241"/>
  <c r="K241" l="1"/>
  <c r="J242"/>
  <c r="K242" l="1"/>
  <c r="J243"/>
  <c r="J244" l="1"/>
  <c r="K243"/>
  <c r="K244" l="1"/>
  <c r="J245"/>
  <c r="K245" l="1"/>
  <c r="J246"/>
  <c r="K246" l="1"/>
  <c r="J247"/>
  <c r="J248" l="1"/>
  <c r="K247"/>
  <c r="K248" l="1"/>
  <c r="J249"/>
  <c r="J250" l="1"/>
  <c r="K249"/>
  <c r="J251" l="1"/>
  <c r="K250"/>
  <c r="K251" l="1"/>
  <c r="J252"/>
  <c r="K252" l="1"/>
  <c r="J253"/>
  <c r="K253" l="1"/>
  <c r="J254"/>
  <c r="K254" l="1"/>
  <c r="J255"/>
  <c r="J256" l="1"/>
  <c r="K255"/>
  <c r="K256" l="1"/>
  <c r="J257"/>
  <c r="K257" l="1"/>
  <c r="J258"/>
  <c r="J259" l="1"/>
  <c r="K258"/>
  <c r="J260" l="1"/>
  <c r="K259"/>
  <c r="K260" l="1"/>
  <c r="J261"/>
  <c r="K261" l="1"/>
  <c r="J262"/>
  <c r="K262" l="1"/>
  <c r="J263"/>
  <c r="J264" l="1"/>
  <c r="K263"/>
  <c r="J265" l="1"/>
  <c r="K264"/>
  <c r="J266" l="1"/>
  <c r="K265"/>
  <c r="K266" l="1"/>
  <c r="J267"/>
  <c r="K267" l="1"/>
  <c r="J268"/>
  <c r="K268" l="1"/>
  <c r="J269"/>
  <c r="K269" l="1"/>
  <c r="J270"/>
  <c r="K270" l="1"/>
  <c r="J271"/>
  <c r="J272" l="1"/>
  <c r="K271"/>
  <c r="K272" l="1"/>
  <c r="J273"/>
  <c r="K273" l="1"/>
  <c r="J274"/>
  <c r="K274" l="1"/>
  <c r="J275"/>
  <c r="J276" l="1"/>
  <c r="K275"/>
  <c r="K276" l="1"/>
  <c r="J277"/>
  <c r="K277" l="1"/>
  <c r="J278"/>
  <c r="K278" l="1"/>
  <c r="J279"/>
  <c r="J280" l="1"/>
  <c r="K279"/>
  <c r="K280" l="1"/>
  <c r="J281"/>
  <c r="J282" l="1"/>
  <c r="K281"/>
  <c r="J283" l="1"/>
  <c r="K282"/>
  <c r="K283" l="1"/>
  <c r="J284"/>
  <c r="K284" l="1"/>
  <c r="J285"/>
  <c r="K285" l="1"/>
  <c r="J286"/>
  <c r="K286" l="1"/>
  <c r="J287"/>
  <c r="J288" l="1"/>
  <c r="K287"/>
  <c r="K288" l="1"/>
  <c r="J289"/>
  <c r="K289" l="1"/>
  <c r="J290"/>
  <c r="J291" l="1"/>
  <c r="K290"/>
  <c r="J292" l="1"/>
  <c r="K291"/>
  <c r="K292" l="1"/>
  <c r="J293"/>
  <c r="K293" l="1"/>
  <c r="J294"/>
  <c r="K294" l="1"/>
  <c r="J295"/>
  <c r="J296" l="1"/>
  <c r="K295"/>
  <c r="J297" l="1"/>
  <c r="K296"/>
  <c r="J298" l="1"/>
  <c r="K297"/>
  <c r="K298" l="1"/>
  <c r="J299"/>
  <c r="K299" l="1"/>
  <c r="J300"/>
  <c r="K300" l="1"/>
  <c r="J301"/>
  <c r="K301" l="1"/>
  <c r="J302"/>
  <c r="K302" l="1"/>
  <c r="J303"/>
  <c r="J304" l="1"/>
  <c r="K303"/>
  <c r="K304" l="1"/>
  <c r="J305"/>
  <c r="K305" l="1"/>
  <c r="J306"/>
  <c r="K306" l="1"/>
  <c r="J307"/>
  <c r="J308" l="1"/>
  <c r="K307"/>
  <c r="K308" l="1"/>
  <c r="J309"/>
  <c r="K309" l="1"/>
  <c r="J310"/>
  <c r="K310" l="1"/>
  <c r="J311"/>
  <c r="J312" l="1"/>
  <c r="K311"/>
  <c r="K312" l="1"/>
  <c r="J313"/>
  <c r="J314" l="1"/>
  <c r="K313"/>
  <c r="J315" l="1"/>
  <c r="K314"/>
  <c r="K315" l="1"/>
  <c r="J316"/>
  <c r="K316" l="1"/>
  <c r="J317"/>
  <c r="K317" l="1"/>
  <c r="J318"/>
  <c r="K318" l="1"/>
  <c r="J319"/>
  <c r="J320" l="1"/>
  <c r="K319"/>
  <c r="K320" l="1"/>
  <c r="J321"/>
  <c r="K321" l="1"/>
  <c r="J322"/>
  <c r="J323" l="1"/>
  <c r="K322"/>
  <c r="J324" l="1"/>
  <c r="K323"/>
  <c r="K324" l="1"/>
  <c r="J325"/>
  <c r="K325" l="1"/>
  <c r="J326"/>
  <c r="K326" l="1"/>
  <c r="J327"/>
  <c r="J328" l="1"/>
  <c r="K327"/>
  <c r="J329" l="1"/>
  <c r="K328"/>
  <c r="J330" l="1"/>
  <c r="K329"/>
  <c r="K330" l="1"/>
  <c r="J331"/>
  <c r="K331" l="1"/>
  <c r="J332"/>
  <c r="K332" l="1"/>
  <c r="J333"/>
  <c r="K333" l="1"/>
  <c r="J334"/>
  <c r="K334" l="1"/>
  <c r="J335"/>
  <c r="J336" l="1"/>
  <c r="K335"/>
  <c r="K336" l="1"/>
  <c r="J337"/>
  <c r="K337" l="1"/>
  <c r="J338"/>
  <c r="K338" l="1"/>
  <c r="J339"/>
  <c r="J340" l="1"/>
  <c r="K339"/>
  <c r="K340" l="1"/>
  <c r="J341"/>
  <c r="K341" l="1"/>
  <c r="J342"/>
  <c r="K342" l="1"/>
  <c r="J343"/>
  <c r="J344" l="1"/>
  <c r="K343"/>
  <c r="K344" l="1"/>
  <c r="J345"/>
  <c r="J346" l="1"/>
  <c r="K345"/>
  <c r="J347" l="1"/>
  <c r="K346"/>
  <c r="K347" l="1"/>
  <c r="J348"/>
  <c r="K348" l="1"/>
  <c r="J349"/>
  <c r="K349" l="1"/>
  <c r="J350"/>
  <c r="K350" l="1"/>
  <c r="J351"/>
  <c r="K351" l="1"/>
  <c r="J352"/>
  <c r="K352" l="1"/>
  <c r="J353"/>
  <c r="K353" l="1"/>
  <c r="J354"/>
  <c r="K354" l="1"/>
  <c r="J355"/>
  <c r="K355" l="1"/>
  <c r="J356"/>
  <c r="K356" l="1"/>
  <c r="J357"/>
  <c r="K357" l="1"/>
  <c r="J358"/>
  <c r="K358" l="1"/>
  <c r="J359"/>
  <c r="K359" l="1"/>
  <c r="J360"/>
  <c r="J361" l="1"/>
  <c r="K360"/>
  <c r="K361" l="1"/>
  <c r="J362"/>
  <c r="K362" l="1"/>
  <c r="J363"/>
  <c r="K363" l="1"/>
  <c r="J364"/>
  <c r="K364" l="1"/>
  <c r="J365"/>
  <c r="K365" l="1"/>
  <c r="J366"/>
  <c r="K366" l="1"/>
  <c r="J367"/>
  <c r="J368" l="1"/>
  <c r="K367"/>
  <c r="J369" l="1"/>
  <c r="K368"/>
  <c r="K369" l="1"/>
  <c r="J370"/>
  <c r="K370" l="1"/>
  <c r="J371"/>
  <c r="K371" l="1"/>
  <c r="J372"/>
  <c r="K372" l="1"/>
  <c r="J373"/>
  <c r="K373" l="1"/>
  <c r="J374"/>
  <c r="K374" l="1"/>
  <c r="J375"/>
  <c r="K375" l="1"/>
  <c r="J376"/>
  <c r="J377" l="1"/>
  <c r="K376"/>
  <c r="K377" l="1"/>
  <c r="J378"/>
  <c r="J379" l="1"/>
  <c r="K378"/>
  <c r="K379" l="1"/>
  <c r="J380"/>
  <c r="K380" l="1"/>
  <c r="J381"/>
  <c r="K381" l="1"/>
  <c r="J382"/>
  <c r="K382" l="1"/>
  <c r="J383"/>
  <c r="J384" l="1"/>
  <c r="K383"/>
  <c r="K384" l="1"/>
  <c r="J385"/>
  <c r="K385" l="1"/>
  <c r="J386"/>
  <c r="K386" l="1"/>
  <c r="J387"/>
  <c r="K387" l="1"/>
  <c r="J388"/>
  <c r="K388" l="1"/>
  <c r="J389"/>
  <c r="K389" l="1"/>
  <c r="J390"/>
  <c r="K390" l="1"/>
  <c r="J391"/>
  <c r="K391" l="1"/>
  <c r="J392"/>
  <c r="J393" l="1"/>
  <c r="K392"/>
  <c r="K393" l="1"/>
  <c r="J394"/>
  <c r="K394" l="1"/>
  <c r="J395"/>
  <c r="K395" l="1"/>
  <c r="J396"/>
  <c r="K396" l="1"/>
  <c r="J397"/>
  <c r="K397" l="1"/>
  <c r="J398"/>
  <c r="K398" l="1"/>
  <c r="J399"/>
  <c r="K399" l="1"/>
  <c r="J400"/>
  <c r="J401" l="1"/>
  <c r="K400"/>
  <c r="K401" l="1"/>
  <c r="J402"/>
  <c r="K402" l="1"/>
  <c r="J403"/>
  <c r="K403" l="1"/>
  <c r="J404"/>
  <c r="K404" l="1"/>
  <c r="J405"/>
  <c r="K405" l="1"/>
  <c r="J406"/>
  <c r="K406" l="1"/>
  <c r="J407"/>
  <c r="K407" l="1"/>
  <c r="J408"/>
  <c r="J409" l="1"/>
  <c r="K408"/>
  <c r="K409" l="1"/>
  <c r="J410"/>
  <c r="J411" l="1"/>
  <c r="K410"/>
  <c r="K411" l="1"/>
  <c r="J412"/>
  <c r="K412" l="1"/>
  <c r="J413"/>
  <c r="K413" l="1"/>
  <c r="J414"/>
  <c r="K414" l="1"/>
  <c r="J415"/>
  <c r="K415" l="1"/>
  <c r="J416"/>
  <c r="K416" l="1"/>
  <c r="J417"/>
  <c r="K417" l="1"/>
  <c r="J418"/>
  <c r="K418" l="1"/>
  <c r="J419"/>
  <c r="K419" l="1"/>
  <c r="J420"/>
  <c r="K420" l="1"/>
  <c r="J421"/>
  <c r="K421" l="1"/>
  <c r="J422"/>
  <c r="K422" l="1"/>
  <c r="J423"/>
  <c r="K423" l="1"/>
  <c r="J424"/>
  <c r="J425" l="1"/>
  <c r="K424"/>
  <c r="K425" l="1"/>
  <c r="J426"/>
  <c r="K426" l="1"/>
  <c r="J427"/>
  <c r="K427" l="1"/>
  <c r="J428"/>
  <c r="K428" s="1"/>
</calcChain>
</file>

<file path=xl/comments1.xml><?xml version="1.0" encoding="utf-8"?>
<comments xmlns="http://schemas.openxmlformats.org/spreadsheetml/2006/main">
  <authors>
    <author>Joaquin</author>
  </authors>
  <commentList>
    <comment ref="W4" authorId="0">
      <text>
        <r>
          <rPr>
            <sz val="9"/>
            <color indexed="81"/>
            <rFont val="Tahoma"/>
            <family val="2"/>
          </rPr>
          <t xml:space="preserve">Insertar el año en la Hoja de Inicio </t>
        </r>
      </text>
    </comment>
  </commentList>
</comments>
</file>

<file path=xl/sharedStrings.xml><?xml version="1.0" encoding="utf-8"?>
<sst xmlns="http://schemas.openxmlformats.org/spreadsheetml/2006/main" count="3252" uniqueCount="1007">
  <si>
    <t>PASCUA</t>
  </si>
  <si>
    <t>JUEVES SANTO</t>
  </si>
  <si>
    <t>VIERNES SANTO</t>
  </si>
  <si>
    <t>MES</t>
  </si>
  <si>
    <t>DATA ACTUAL</t>
  </si>
  <si>
    <t>Primers dies mes</t>
  </si>
  <si>
    <t>29/02/</t>
  </si>
  <si>
    <t>S</t>
  </si>
  <si>
    <t>CÀLCUL PASQUA</t>
  </si>
  <si>
    <t>ANY</t>
  </si>
  <si>
    <t>DIA:</t>
  </si>
  <si>
    <t>MES:</t>
  </si>
  <si>
    <t>V</t>
  </si>
  <si>
    <t>PASQUA</t>
  </si>
  <si>
    <t>MARÇ</t>
  </si>
  <si>
    <t>D</t>
  </si>
  <si>
    <t>ABRIL</t>
  </si>
  <si>
    <t>M</t>
  </si>
  <si>
    <t>DIJOUS SANT</t>
  </si>
  <si>
    <t>SANT VICENT</t>
  </si>
  <si>
    <t>L</t>
  </si>
  <si>
    <t>SANT CRISTÒFOL</t>
  </si>
  <si>
    <t>DILLUNS MAGDALENA</t>
  </si>
  <si>
    <t>CARNESTOLTES</t>
  </si>
  <si>
    <t>J</t>
  </si>
  <si>
    <t>SANT ROC</t>
  </si>
  <si>
    <t>CALENDARIO AÑO</t>
  </si>
  <si>
    <t>01/01/</t>
  </si>
  <si>
    <t>SEM</t>
  </si>
  <si>
    <t>X</t>
  </si>
  <si>
    <t>DIAS</t>
  </si>
  <si>
    <t>S. VICENTE F.</t>
  </si>
  <si>
    <t>LUN.MAGDALENA</t>
  </si>
  <si>
    <t>MIER.CENIZA</t>
  </si>
  <si>
    <t>Feb</t>
  </si>
  <si>
    <t>Ene</t>
  </si>
  <si>
    <t>Mar</t>
  </si>
  <si>
    <t>Abr</t>
  </si>
  <si>
    <t>May</t>
  </si>
  <si>
    <t>Jun</t>
  </si>
  <si>
    <t>Jul</t>
  </si>
  <si>
    <t>Ago</t>
  </si>
  <si>
    <t>Sep</t>
  </si>
  <si>
    <t>Oct</t>
  </si>
  <si>
    <t>Nov</t>
  </si>
  <si>
    <t>Dic</t>
  </si>
  <si>
    <t>PASCUA GRANADA</t>
  </si>
  <si>
    <t>CORPUS (DOM.SIGU)</t>
  </si>
  <si>
    <t>Semana de Carnaval. Días anteriores al Miércoles de Ceniza</t>
  </si>
  <si>
    <t>(en azul en el calendario)</t>
  </si>
  <si>
    <t>ENERO</t>
  </si>
  <si>
    <t>FEBRERO</t>
  </si>
  <si>
    <t>MARZO</t>
  </si>
  <si>
    <t>MAYO</t>
  </si>
  <si>
    <t>JUNIO</t>
  </si>
  <si>
    <t>JULIO</t>
  </si>
  <si>
    <t>AGOSTO</t>
  </si>
  <si>
    <t>SEPTIEMBRE</t>
  </si>
  <si>
    <t>NOVIEMBRE</t>
  </si>
  <si>
    <t>DICIEMBRE</t>
  </si>
  <si>
    <t>OCTUBRE</t>
  </si>
  <si>
    <t>Fiestas locales</t>
  </si>
  <si>
    <t>Domingos</t>
  </si>
  <si>
    <t>Pascua Resurrección</t>
  </si>
  <si>
    <t>FIESTAS  DEL AÑO</t>
  </si>
  <si>
    <t>Fiestas nacionales</t>
  </si>
  <si>
    <t>Fiestas autonómicas</t>
  </si>
  <si>
    <t>Pasqua</t>
  </si>
  <si>
    <t>S.Vicent</t>
  </si>
  <si>
    <t>Cendra</t>
  </si>
  <si>
    <t>Miércoles Ceniza</t>
  </si>
  <si>
    <t>Diada</t>
  </si>
  <si>
    <t>Lunes Magdalena</t>
  </si>
  <si>
    <t>Corpus</t>
  </si>
  <si>
    <t>Comuniones</t>
  </si>
  <si>
    <t>L'Avellà</t>
  </si>
  <si>
    <t>Sant Martí</t>
  </si>
  <si>
    <t>CONFECCIONADO PARA CATÍ (CASTELLÓN)</t>
  </si>
  <si>
    <t>SANT PERE</t>
  </si>
  <si>
    <t>PRIMER DIA</t>
  </si>
  <si>
    <t>SEGON DIA</t>
  </si>
  <si>
    <t>may</t>
  </si>
  <si>
    <t>Pujada Romeria</t>
  </si>
  <si>
    <t>Inici festes patron.</t>
  </si>
  <si>
    <t>Final Festes patron.</t>
  </si>
  <si>
    <t>FESTES AGOST</t>
  </si>
  <si>
    <t>COMENÇAMENT</t>
  </si>
  <si>
    <t>FINAL</t>
  </si>
  <si>
    <t>ago</t>
  </si>
  <si>
    <t xml:space="preserve">ROMERIA </t>
  </si>
  <si>
    <t>CATÍ</t>
  </si>
  <si>
    <t>BAJADA</t>
  </si>
  <si>
    <t>SUBIDA</t>
  </si>
  <si>
    <t>INICIO</t>
  </si>
  <si>
    <t>FIESTAS AGOSTO</t>
  </si>
  <si>
    <t>Por Joaquim Carbó Miralles</t>
  </si>
  <si>
    <t>PENTECOSTES</t>
  </si>
  <si>
    <t>Bisiesto "1"</t>
  </si>
  <si>
    <t>DIA SEMANA 01/01</t>
  </si>
  <si>
    <t>Lunes</t>
  </si>
  <si>
    <t>Martes</t>
  </si>
  <si>
    <t>Miércoles</t>
  </si>
  <si>
    <t>Jueves</t>
  </si>
  <si>
    <t>Viernes</t>
  </si>
  <si>
    <t>Sábado</t>
  </si>
  <si>
    <t>Domingo</t>
  </si>
  <si>
    <t>DIAS DESDE AÑO 1 A 01-01 AÑO ACTUAL</t>
  </si>
  <si>
    <t>FECHA(dd/mm/AAAA)</t>
  </si>
  <si>
    <t xml:space="preserve">DIA   </t>
  </si>
  <si>
    <t>AÑO</t>
  </si>
  <si>
    <t>año</t>
  </si>
  <si>
    <t>mes</t>
  </si>
  <si>
    <t>dia</t>
  </si>
  <si>
    <t>Enero</t>
  </si>
  <si>
    <t>Febrero</t>
  </si>
  <si>
    <t>Marzo</t>
  </si>
  <si>
    <t>Abril</t>
  </si>
  <si>
    <t>Mayo</t>
  </si>
  <si>
    <t>Junio</t>
  </si>
  <si>
    <t>Julio</t>
  </si>
  <si>
    <t>Agosto</t>
  </si>
  <si>
    <t>Septiembre</t>
  </si>
  <si>
    <t>Octubre</t>
  </si>
  <si>
    <t>Noviembre</t>
  </si>
  <si>
    <t>Diciembre</t>
  </si>
  <si>
    <t>Toma de Catí pels maquis (21-05-47)</t>
  </si>
  <si>
    <t>Perforament túnel de l'Avellà (12-01-1953)</t>
  </si>
  <si>
    <t>Visita de Fraga Iribarne (07-07-68)</t>
  </si>
  <si>
    <t>Declaració de Catí com a conjunt històric artístic (07-03-79)</t>
  </si>
  <si>
    <t>Declaració de Catí com a B.I.C (22-10-2004)</t>
  </si>
  <si>
    <t>Inauguració de la variant a la CV-128 de Catí (29-09-2008)</t>
  </si>
  <si>
    <t>Concessió Carta Pobla a Ramon de Bochona (25-01-1239)</t>
  </si>
  <si>
    <t>Independència de Morella (09-02-1991)</t>
  </si>
  <si>
    <t>Declarada d'utilitat pública l'aigua de l'Avellà (25-04-28)</t>
  </si>
  <si>
    <t>Confirmació Rei En Jaume Carta Pobla (05-11-1243)</t>
  </si>
  <si>
    <t>Conquista de Catí per En Balasc d'Alagó (1233)</t>
  </si>
  <si>
    <t>Donació de Vallivana per Na Violant d'Hongria (1241)</t>
  </si>
  <si>
    <t>Cessió de la vila a Morella (1250)</t>
  </si>
  <si>
    <t>Venta Catí a Ramon Castellà de Sant Mateu (1268)</t>
  </si>
  <si>
    <t>Concessió privil·legi Ligalló (1270)</t>
  </si>
  <si>
    <t>Concessió privil·legi de l'Herbatge (1274)</t>
  </si>
  <si>
    <t>Comença el pleit per la Independéncia contra Morella (1292)</t>
  </si>
  <si>
    <t>Impost que grava les llanes angleses (1300)</t>
  </si>
  <si>
    <t>Vilafranca agregada al Castell de Morella (1302)</t>
  </si>
  <si>
    <t>Es crea l'Ordre de Montesa (Maestre) (1317)</t>
  </si>
  <si>
    <t>Testament Arnau Segarra, fundació Hospital- 1ª Referència a la Romeria de Sant Pere (1321)</t>
  </si>
  <si>
    <t>Delimitació del terme de Catí (1340)</t>
  </si>
  <si>
    <t>Es fa el cementeri al Calvari (1348)</t>
  </si>
  <si>
    <t>Jaume Castellà ven Catí a Morella (1374)</t>
  </si>
  <si>
    <t>Edificació Casa Abadia (1376)</t>
  </si>
  <si>
    <t>Construcció Capella Sant Blai (1354)</t>
  </si>
  <si>
    <t>Construcció capella Montserrat (1377)</t>
  </si>
  <si>
    <t>Construcció Capella Sant Martí (1389)</t>
  </si>
  <si>
    <t>Pere Lembrí pinta el retaule de l'altar major (1401)</t>
  </si>
  <si>
    <t>Predicació de Sant Vicent Ferrer en Catí (1410)</t>
  </si>
  <si>
    <t>Primera Processó documentada de Sant Pere (1424)</t>
  </si>
  <si>
    <t>Edificació de la Casa de la Vila (1428)</t>
  </si>
  <si>
    <t>Edificació Ermita de Santa Anna (1441)</t>
  </si>
  <si>
    <t>Construcció Capella Sants Joans (1447)</t>
  </si>
  <si>
    <t>Construcció Capella Sant Antoni (1459)</t>
  </si>
  <si>
    <t>Construcció 1ª Capella Passió (Spígol) (1448)</t>
  </si>
  <si>
    <t>Construcció Casa Spigol (1449)</t>
  </si>
  <si>
    <t>Construció 2ª Capella Passió (1451)</t>
  </si>
  <si>
    <t>Construcció Casa Miralles (1452)</t>
  </si>
  <si>
    <t>Primera Processó a Verge Vallivana (1453)</t>
  </si>
  <si>
    <t>Es pinta el retaule de Jacomart (1460)</t>
  </si>
  <si>
    <t>Morella ven Catí a Juan Forés de Sant Mateu (1468)</t>
  </si>
  <si>
    <t>Morella compra Catí a Juan Forés (Sant Mateu) (1481)</t>
  </si>
  <si>
    <t>Construcció Capella Ànimes (1503)</t>
  </si>
  <si>
    <t>Es conctracten l'esgésia i ermitori de l'Avellà (1544)</t>
  </si>
  <si>
    <t>Primera Processó a l'Avellà (1545)</t>
  </si>
  <si>
    <t>Benedicció de la primera capelleta de l'Avellà (1549)</t>
  </si>
  <si>
    <t>Construcció Capella Roser (1550)</t>
  </si>
  <si>
    <t>Ampliació ermita l'Avellà (1607)</t>
  </si>
  <si>
    <t>Construcció ermita Sant Vicent (1610)</t>
  </si>
  <si>
    <t>Edificació Campanar (1615)</t>
  </si>
  <si>
    <t>Construcció ermita del Pilar (1625)</t>
  </si>
  <si>
    <t>Construcció Nevera Vella (1636)</t>
  </si>
  <si>
    <t>Primer Camí d'Antolí (1637)</t>
  </si>
  <si>
    <t>Fabricació Sagristia i arxiu (1643)</t>
  </si>
  <si>
    <t>Construcció Ermita Sant Josep (1670)</t>
  </si>
  <si>
    <t>Pere Esbrí fa el Retaule de l'Altar Major (1677)</t>
  </si>
  <si>
    <t>Catí compra a Morella una part del terme (1692)</t>
  </si>
  <si>
    <t>Darrera ampliació de l'ermita de l'Avellà (1703)</t>
  </si>
  <si>
    <t>Es fa la capella de Sant Roc (1721)</t>
  </si>
  <si>
    <t>Pintures de l'Avellà (Pasqual Mespletera) (1737)</t>
  </si>
  <si>
    <t>S'alça la Capella de la Comunió (1741)</t>
  </si>
  <si>
    <t>Construccio Trassagari ermita l'Avellà (1757)</t>
  </si>
  <si>
    <t>Mort de Mossèn Celma (1771)</t>
  </si>
  <si>
    <t>Fabricació de la Capella de Sant Vicent (1773)</t>
  </si>
  <si>
    <t>Construcció de la Fonda de l'Avellà (1786)</t>
  </si>
  <si>
    <t>Construcció de la Casa de Banys (1845)</t>
  </si>
  <si>
    <t>Construcció de la carretera Vinaròs- Morella (1860)</t>
  </si>
  <si>
    <t>L'Estat ven les cases de l'Avellà (1864)</t>
  </si>
  <si>
    <t>Tapen els arcs de la Casa de la Vila (1868)</t>
  </si>
  <si>
    <t>Instal·lació primers fanals d'enllumenat (1887)</t>
  </si>
  <si>
    <t>Creació de la Banda de Música (1891)</t>
  </si>
  <si>
    <t>Es fa el cementeri de Santa Anna (1911)</t>
  </si>
  <si>
    <t>Construcció carretera Antolí- Hostal Vilar de Canes (1914)</t>
  </si>
  <si>
    <t>Enderrocament Portals de Sant Vicent i de València (1922)</t>
  </si>
  <si>
    <t>Instal·lació de l'enllumenat elèctric (1923)</t>
  </si>
  <si>
    <t>Enderrocament portals de Sant Roc, Sant Joan i Cemeneri (1930)</t>
  </si>
  <si>
    <t>Començament Guerra Civil Espanyola (18-07-1936)</t>
  </si>
  <si>
    <t>Enderrocament capelles laterals de l'esglèsia (1937)</t>
  </si>
  <si>
    <t>Final de la Guerra Civil espanyola (1939)</t>
  </si>
  <si>
    <t>Construcció carretera l'Avellà (1944)</t>
  </si>
  <si>
    <t>Gelada de les oliveres (1956)</t>
  </si>
  <si>
    <t>Inauguració embotelladora de l'Avellà (1971)</t>
  </si>
  <si>
    <t>Canvi del calendari de la Romeria de Sant Pere (1980)</t>
  </si>
  <si>
    <t>Festes del III Centenari de la Independència (6, 7 d'abril 1991)</t>
  </si>
  <si>
    <t>Trobada de les polseres del retaule (A.J.Pitarch) (1997)</t>
  </si>
  <si>
    <t>Inauguració Pou de Vallivana (1998)</t>
  </si>
  <si>
    <t>Definitiva restauració del Retaule de Jacomart (2002)</t>
  </si>
  <si>
    <t>Baixada de la Marededéu al poble (Setiembre 2000)</t>
  </si>
  <si>
    <t>Restauració altar ermita l'Avellà (2003)</t>
  </si>
  <si>
    <t>(Desde el año 1)</t>
  </si>
  <si>
    <t>OPERACIÓN</t>
  </si>
  <si>
    <t>VALOR</t>
  </si>
  <si>
    <t>COCIE</t>
  </si>
  <si>
    <t>RESTO</t>
  </si>
  <si>
    <t>COCIEN</t>
  </si>
  <si>
    <t>1.Divide el año por 19</t>
  </si>
  <si>
    <t>a</t>
  </si>
  <si>
    <t>2.Divide el año por 100</t>
  </si>
  <si>
    <t>b</t>
  </si>
  <si>
    <t>c</t>
  </si>
  <si>
    <t>3.Divide b por 4</t>
  </si>
  <si>
    <t>d</t>
  </si>
  <si>
    <t>e</t>
  </si>
  <si>
    <t>4.Divide (b+8) por 25</t>
  </si>
  <si>
    <t>----</t>
  </si>
  <si>
    <t>f</t>
  </si>
  <si>
    <t>5.Divide (b-f+1) por 3</t>
  </si>
  <si>
    <t>g</t>
  </si>
  <si>
    <t>6.Divide (19a+b-d-g+15) por 30</t>
  </si>
  <si>
    <t>-----</t>
  </si>
  <si>
    <t>h</t>
  </si>
  <si>
    <t>7.Divide c por 4</t>
  </si>
  <si>
    <t>i</t>
  </si>
  <si>
    <t>k</t>
  </si>
  <si>
    <t>8.Divide 32+2e+2i-h-k por 7</t>
  </si>
  <si>
    <t>l</t>
  </si>
  <si>
    <t>9.Divide a+11h+22l por 451</t>
  </si>
  <si>
    <t>m</t>
  </si>
  <si>
    <t>10.Divide h+l-7m+114 por 31</t>
  </si>
  <si>
    <t>n</t>
  </si>
  <si>
    <t>p</t>
  </si>
  <si>
    <t>DIA</t>
  </si>
  <si>
    <t>i= Número de días desde el 21 de marzo a la primera Luna Llena</t>
  </si>
  <si>
    <r>
      <t>result</t>
    </r>
    <r>
      <rPr>
        <sz val="10"/>
        <rFont val="Arial"/>
        <family val="2"/>
      </rPr>
      <t xml:space="preserve"> = 22 + H + L - 7 x M</t>
    </r>
  </si>
  <si>
    <t>(De 1-1582)</t>
  </si>
  <si>
    <t>A= year MOD 19</t>
  </si>
  <si>
    <t>B = year MOD 7</t>
  </si>
  <si>
    <t>C = year MOD 4</t>
  </si>
  <si>
    <t>D = (19 x A + 15) MOD 30</t>
  </si>
  <si>
    <t>E = (2 x C + 4 x B - D + 34) MOD 7</t>
  </si>
  <si>
    <r>
      <t>result</t>
    </r>
    <r>
      <rPr>
        <sz val="10"/>
        <rFont val="Arial"/>
        <family val="2"/>
      </rPr>
      <t xml:space="preserve"> = 22 + D + E</t>
    </r>
  </si>
  <si>
    <t>Este programa calcula:</t>
  </si>
  <si>
    <t>CALENDARIO CATINENSE</t>
  </si>
  <si>
    <t>Primera luna llena Pascua</t>
  </si>
  <si>
    <t xml:space="preserve">Ejercicio: Calcula la epacta para 1999. </t>
  </si>
  <si>
    <t>Paso 1.- Al año  al que queremos sacarle la epacta lo dividimos entre 19.</t>
  </si>
  <si>
    <t>Paso 2.- El resultado de la división no nos importa, nos importa el residuo. En este caso el residuo fue de 4.</t>
  </si>
  <si>
    <t>Al residuo lo vamos a multiplicar por 11 y eso nos dará otro número.</t>
  </si>
  <si>
    <t>4 X 11  =  44</t>
  </si>
  <si>
    <t>Paso 3.- A este número, resultado de la multiplicación por 11, le restamos tantas veces sea necesario 30, de esta manera nos debe de  quedar un número menor que 30.</t>
  </si>
  <si>
    <t>Dado que a 44 solo puedo quitarle una vez 30, procedemos.  44 - 30 = 14.</t>
  </si>
  <si>
    <t>Paso 3.- Ahora procedemos a quitarle 1.</t>
  </si>
  <si>
    <t>Año</t>
  </si>
  <si>
    <t>EPACTA</t>
  </si>
  <si>
    <t>AÑO BISIESTO</t>
  </si>
  <si>
    <t>Número aúreo</t>
  </si>
  <si>
    <t>epacta</t>
  </si>
  <si>
    <t>1ª luna después 21-03</t>
  </si>
  <si>
    <t>CALCULEMOS LA EDAD DE LA LUNA.</t>
  </si>
  <si>
    <t>Además de la epacta podemos calcular que fase tendrá la Luna para cierto día del calendario que escojamos.</t>
  </si>
  <si>
    <t>La fórmula básica es;</t>
  </si>
  <si>
    <t>Epacta del Año + Fecha del Mes +  Número del mes + 1 (solo si es después del 1 de marzo en año bisiesto) - n30 = Edad de la Luna</t>
  </si>
  <si>
    <t>En donde:</t>
  </si>
  <si>
    <t>Epacta del año: el número constante que sacamos anteriormente.</t>
  </si>
  <si>
    <t>Fecha del mes: El número del día del mes que buscamos (Ejemplo; 5 de febrero, la fecha del mes es 5)</t>
  </si>
  <si>
    <t>Luna Nueva</t>
  </si>
  <si>
    <t>Número de mes: El número que le corresponde al mes de acuerdo a la siguiente tabla.-</t>
  </si>
  <si>
    <t xml:space="preserve">Enero </t>
  </si>
  <si>
    <t>01</t>
  </si>
  <si>
    <t xml:space="preserve">Febrero </t>
  </si>
  <si>
    <t>02</t>
  </si>
  <si>
    <t>03</t>
  </si>
  <si>
    <t>04</t>
  </si>
  <si>
    <t>Cuarto Creciente</t>
  </si>
  <si>
    <t>05</t>
  </si>
  <si>
    <t>06</t>
  </si>
  <si>
    <t>07</t>
  </si>
  <si>
    <t>08</t>
  </si>
  <si>
    <t>09</t>
  </si>
  <si>
    <t>10</t>
  </si>
  <si>
    <t>Ciclo de Metón: 19 años- 235 lunaciones</t>
  </si>
  <si>
    <t>11</t>
  </si>
  <si>
    <t>12</t>
  </si>
  <si>
    <t>Luna Llena</t>
  </si>
  <si>
    <t>Veamos un ejemplo:</t>
  </si>
  <si>
    <t>2.- Calcula la edad de la Luna para el 17 de noviembre de 1999.</t>
  </si>
  <si>
    <t>Solución:</t>
  </si>
  <si>
    <t>Cuarto Menguante</t>
  </si>
  <si>
    <t>La epacta de 1999 es 13.</t>
  </si>
  <si>
    <t>La Fecha del mes es 17</t>
  </si>
  <si>
    <t>El número del mes de acuerdo a la tabla es 9 para noviembre.</t>
  </si>
  <si>
    <r>
      <t xml:space="preserve">Sustituimos en la fórmula:  13 +17 + 9 = 39 dado que se pasa de 30 le restamos 30 . 39 - 30 </t>
    </r>
    <r>
      <rPr>
        <b/>
        <sz val="12"/>
        <rFont val="Arial"/>
        <family val="2"/>
      </rPr>
      <t>= 9</t>
    </r>
  </si>
  <si>
    <t>Así, vemos que 9 es la edad de la Luna para el 17 de noviembre de 1999.</t>
  </si>
  <si>
    <t>Numero Aureo</t>
  </si>
  <si>
    <t>/</t>
  </si>
  <si>
    <t>13</t>
  </si>
  <si>
    <t>14</t>
  </si>
  <si>
    <t>15</t>
  </si>
  <si>
    <t>16</t>
  </si>
  <si>
    <t>17</t>
  </si>
  <si>
    <t>18</t>
  </si>
  <si>
    <t>19</t>
  </si>
  <si>
    <t>20</t>
  </si>
  <si>
    <t>21</t>
  </si>
  <si>
    <t>22</t>
  </si>
  <si>
    <t>23</t>
  </si>
  <si>
    <t>24</t>
  </si>
  <si>
    <t>25</t>
  </si>
  <si>
    <t>26</t>
  </si>
  <si>
    <t>27</t>
  </si>
  <si>
    <t>28</t>
  </si>
  <si>
    <t>29</t>
  </si>
  <si>
    <t>30</t>
  </si>
  <si>
    <t>31</t>
  </si>
  <si>
    <t>EDAD LUNA 1 ABRIL</t>
  </si>
  <si>
    <t>EDAD LUNA 1  MAYO</t>
  </si>
  <si>
    <t>EDAD LUNA 1 JULIO</t>
  </si>
  <si>
    <t>EDAD LUNA 1 AGOSTO</t>
  </si>
  <si>
    <t>EDAD LUNA 1 OCTUBRE</t>
  </si>
  <si>
    <t>EDAD LUNA 31 DICIEMBRE</t>
  </si>
  <si>
    <t>EDAD LUNA 1 FEBRERO</t>
  </si>
  <si>
    <t>EDAD LUNA 1 JUNIO</t>
  </si>
  <si>
    <t>EDAD LUNA 1 DE ENERO:</t>
  </si>
  <si>
    <t>EDAD LUNA 1 NOVIEMBRE</t>
  </si>
  <si>
    <t>CLAVE EDAD DE LA LUNA</t>
  </si>
  <si>
    <t>EDAD LUNA 1 DICIEMBRE</t>
  </si>
  <si>
    <t>EDAD LUNA 1 MARZO</t>
  </si>
  <si>
    <t>EDAD LUNA 1 SEPTIEM</t>
  </si>
  <si>
    <t>LUNAS LLENAS</t>
  </si>
  <si>
    <t>LL</t>
  </si>
  <si>
    <t>LUNA NUEVA (LN) (0-6)</t>
  </si>
  <si>
    <t>CUARTO CRECIENTE(CC) (7-13)</t>
  </si>
  <si>
    <t>LUNA LLENA (LL) (14-20)</t>
  </si>
  <si>
    <t>CUARTO MENGUANTE (CM) (21-28)</t>
  </si>
  <si>
    <t>indica la edad de la luna a principio del mes, o sea</t>
  </si>
  <si>
    <t>de acuerdo con la tabla de arriba de la edad de la Luna</t>
  </si>
  <si>
    <t>de Enero</t>
  </si>
  <si>
    <t>El número</t>
  </si>
  <si>
    <t>indica el día de la luna llena del mes. Aquí indica que la Luna Llena tiene lugar el día</t>
  </si>
  <si>
    <t>de</t>
  </si>
  <si>
    <t xml:space="preserve">ACLARACIONES SOBRE LA LUNA </t>
  </si>
  <si>
    <t>LUNA LLENA PASCUAL</t>
  </si>
  <si>
    <t>. Sitúa los principales hechos históricos de Catí dentro del año elegido o inmediatamente anteriores.</t>
  </si>
  <si>
    <t>NOTA: La complejidad sobre los cálculos de la fase lunar hace que los datos lunares sean aproximados (de +/- 1 dia) sobre todo alrededor de los años bisiestos.</t>
  </si>
  <si>
    <t>.  A partir del año 1996 recoge los días de cambio del horario de verano al de invierno y al revés.</t>
  </si>
  <si>
    <t>. El nuevo calendario de las fiestas de agosto antes y después del año 2008.</t>
  </si>
  <si>
    <t>. Las fechas de la romería de Sant Pere desde el año 1321 a la actualidad (con el nuevo calendario).</t>
  </si>
  <si>
    <t>ESCRIBE EL AÑO Y PULSA LA OPCIÓN ELEGIDA</t>
  </si>
  <si>
    <t>TODO EL AÑO</t>
  </si>
  <si>
    <t>1999/19 = 105 y sobran 4.</t>
  </si>
  <si>
    <r>
      <t xml:space="preserve">14 - 1 = </t>
    </r>
    <r>
      <rPr>
        <b/>
        <sz val="12"/>
        <rFont val="Arial"/>
        <family val="2"/>
      </rPr>
      <t>13</t>
    </r>
  </si>
  <si>
    <t>LUNA PASCUAL</t>
  </si>
  <si>
    <t>Año (326-1582 DJC)</t>
  </si>
  <si>
    <t>Del año 1583 al 4099- Calendario gregoriano</t>
  </si>
  <si>
    <t>DIA SEMANA</t>
  </si>
  <si>
    <t>LUNA NUEVA</t>
  </si>
  <si>
    <t>CUART.MEN</t>
  </si>
  <si>
    <t>CUART.CRE</t>
  </si>
  <si>
    <t>SANT ANTONI</t>
  </si>
  <si>
    <t>Sant Antoni</t>
  </si>
  <si>
    <t>Primero de Año</t>
  </si>
  <si>
    <t>Reyes</t>
  </si>
  <si>
    <t>Festa de Sant Antoni</t>
  </si>
  <si>
    <t>1-6 gener</t>
  </si>
  <si>
    <t>Vacances Nadal</t>
  </si>
  <si>
    <t>De</t>
  </si>
  <si>
    <t>Vacaciones de Pascua</t>
  </si>
  <si>
    <t>Domingo de Ramos</t>
  </si>
  <si>
    <t>Carnaval</t>
  </si>
  <si>
    <t>San José</t>
  </si>
  <si>
    <t>Jueves Santo</t>
  </si>
  <si>
    <t>Viernes Santo</t>
  </si>
  <si>
    <t>Domingo de Pascua</t>
  </si>
  <si>
    <t>Romería a l'Avellà</t>
  </si>
  <si>
    <t>Sant Vicent</t>
  </si>
  <si>
    <t>Fiesta Trabajo</t>
  </si>
  <si>
    <t>Romeria Sant Pere</t>
  </si>
  <si>
    <t>Dia de la Constitució</t>
  </si>
  <si>
    <t>Inmaculada</t>
  </si>
  <si>
    <t>Nadalet</t>
  </si>
  <si>
    <t>Tot- Sants</t>
  </si>
  <si>
    <t>Sant Martí de Tours</t>
  </si>
  <si>
    <t>Diada C.V.</t>
  </si>
  <si>
    <t>Dia del Pilar</t>
  </si>
  <si>
    <t>Virgen de la Asunción</t>
  </si>
  <si>
    <t>Sant Roc</t>
  </si>
  <si>
    <t>Sant Cristòfol</t>
  </si>
  <si>
    <t>Fiestas de Agosto:</t>
  </si>
  <si>
    <t>Del</t>
  </si>
  <si>
    <t>al</t>
  </si>
  <si>
    <t>de Agosto</t>
  </si>
  <si>
    <t>Virgen de l'Avellà</t>
  </si>
  <si>
    <t>1er dia</t>
  </si>
  <si>
    <t>2on. Dia</t>
  </si>
  <si>
    <t>Pentecostés</t>
  </si>
  <si>
    <t>IR A PORTADA</t>
  </si>
  <si>
    <t>IR A AÑO COMPLETO</t>
  </si>
  <si>
    <t xml:space="preserve">Nadal </t>
  </si>
  <si>
    <t>Vacaciones de Navidad</t>
  </si>
  <si>
    <t>Genoveva</t>
  </si>
  <si>
    <t>Ángela</t>
  </si>
  <si>
    <t>Amelia</t>
  </si>
  <si>
    <t>Raimundo</t>
  </si>
  <si>
    <t>Hilario</t>
  </si>
  <si>
    <t>Sebastián</t>
  </si>
  <si>
    <t>Vicente Mártir</t>
  </si>
  <si>
    <t>Ildefonso</t>
  </si>
  <si>
    <t>Inés</t>
  </si>
  <si>
    <t>Elvira</t>
  </si>
  <si>
    <t>Tomás Aquino</t>
  </si>
  <si>
    <t>Juan Bosco</t>
  </si>
  <si>
    <t>Antonio Abad</t>
  </si>
  <si>
    <t>Óscar-Blas</t>
  </si>
  <si>
    <t>Águeda</t>
  </si>
  <si>
    <t>Silvano</t>
  </si>
  <si>
    <t>Ntra.Sra.Lourdes</t>
  </si>
  <si>
    <t>Eulalia</t>
  </si>
  <si>
    <t>Valentín</t>
  </si>
  <si>
    <t>Faustino</t>
  </si>
  <si>
    <t>Severiano</t>
  </si>
  <si>
    <t>Leonor</t>
  </si>
  <si>
    <t>Gabriel</t>
  </si>
  <si>
    <t>Dia Andalucía</t>
  </si>
  <si>
    <t>Miércoles de Ceniza</t>
  </si>
  <si>
    <t>Dia Baleares</t>
  </si>
  <si>
    <t>Casimiro</t>
  </si>
  <si>
    <t>Olegario</t>
  </si>
  <si>
    <t>Perpetua</t>
  </si>
  <si>
    <t>Francisca R.</t>
  </si>
  <si>
    <t>Maximiliano</t>
  </si>
  <si>
    <t>Rodrigo</t>
  </si>
  <si>
    <t>Matilde</t>
  </si>
  <si>
    <t>Luisa</t>
  </si>
  <si>
    <t>Patricio</t>
  </si>
  <si>
    <t>José</t>
  </si>
  <si>
    <t>Claudia</t>
  </si>
  <si>
    <t>Bienvenido</t>
  </si>
  <si>
    <t>Braulio</t>
  </si>
  <si>
    <t>Alejandro</t>
  </si>
  <si>
    <t>Jonás</t>
  </si>
  <si>
    <t>Hugo</t>
  </si>
  <si>
    <t>Ricardo</t>
  </si>
  <si>
    <t>Estanislao</t>
  </si>
  <si>
    <t>Dia País Vasco</t>
  </si>
  <si>
    <t>Hermenegildo</t>
  </si>
  <si>
    <t>Anastasia</t>
  </si>
  <si>
    <t>Roberto</t>
  </si>
  <si>
    <t>Perfecto</t>
  </si>
  <si>
    <t>Vicente Ferrer</t>
  </si>
  <si>
    <t>Anselmo</t>
  </si>
  <si>
    <t>Marcos</t>
  </si>
  <si>
    <t>Marcelino</t>
  </si>
  <si>
    <t>N.S.Montserrat</t>
  </si>
  <si>
    <t>Catalina Siena</t>
  </si>
  <si>
    <t>Pío V</t>
  </si>
  <si>
    <t xml:space="preserve"> </t>
  </si>
  <si>
    <t>C.Madrid</t>
  </si>
  <si>
    <t>Eulogio</t>
  </si>
  <si>
    <t>Acacio</t>
  </si>
  <si>
    <t>Evelio</t>
  </si>
  <si>
    <t>Pancracio</t>
  </si>
  <si>
    <t>Ntra. Sra. Fátima</t>
  </si>
  <si>
    <t>Matías Ap.</t>
  </si>
  <si>
    <t>Isidro Labrador</t>
  </si>
  <si>
    <t>Pascual Bailón</t>
  </si>
  <si>
    <t>Bernardino</t>
  </si>
  <si>
    <t>Gisela</t>
  </si>
  <si>
    <t>Rita de Casia</t>
  </si>
  <si>
    <t>Basileo</t>
  </si>
  <si>
    <t>Ascensión</t>
  </si>
  <si>
    <t>C.Canarias</t>
  </si>
  <si>
    <t>C.La Mancha</t>
  </si>
  <si>
    <t>Norberto</t>
  </si>
  <si>
    <t>Jeremías</t>
  </si>
  <si>
    <t>Diana</t>
  </si>
  <si>
    <t>Murcia-La Rioja</t>
  </si>
  <si>
    <t>Bernabé</t>
  </si>
  <si>
    <t>Micaela</t>
  </si>
  <si>
    <t>Ismael</t>
  </si>
  <si>
    <t>Jacob</t>
  </si>
  <si>
    <t>Juan Bautista</t>
  </si>
  <si>
    <t>Gullermo</t>
  </si>
  <si>
    <t>Pelayo</t>
  </si>
  <si>
    <t>Ireneo</t>
  </si>
  <si>
    <t>Pedro y Pablo</t>
  </si>
  <si>
    <t>Marcial</t>
  </si>
  <si>
    <t>Isabel Portugal</t>
  </si>
  <si>
    <t>Fermín</t>
  </si>
  <si>
    <t>Verónica</t>
  </si>
  <si>
    <t>Cristóbal</t>
  </si>
  <si>
    <t>Enrique</t>
  </si>
  <si>
    <t>Camilo</t>
  </si>
  <si>
    <t>Ntra.Sra. Carmen</t>
  </si>
  <si>
    <t>Federico</t>
  </si>
  <si>
    <t>Mª Magdalena</t>
  </si>
  <si>
    <t>Cristina</t>
  </si>
  <si>
    <t>Joaquín y Ana</t>
  </si>
  <si>
    <t>Marta</t>
  </si>
  <si>
    <t>Abdón y Senén</t>
  </si>
  <si>
    <t>Ntra.Sra.Ángeles</t>
  </si>
  <si>
    <t>Lidia</t>
  </si>
  <si>
    <t>Ntra.Sra. Nieves</t>
  </si>
  <si>
    <t>Domingo Guzmán</t>
  </si>
  <si>
    <t>Román</t>
  </si>
  <si>
    <t>Lorenzo</t>
  </si>
  <si>
    <t>Clara</t>
  </si>
  <si>
    <t>Hipólito</t>
  </si>
  <si>
    <t>Virgen Asunción</t>
  </si>
  <si>
    <t>Roque</t>
  </si>
  <si>
    <t>Elena</t>
  </si>
  <si>
    <t>Fidel</t>
  </si>
  <si>
    <t>Timoteo</t>
  </si>
  <si>
    <t>Rosa de Lima</t>
  </si>
  <si>
    <t>Bartolomé</t>
  </si>
  <si>
    <t>Mónica</t>
  </si>
  <si>
    <t>Agustín</t>
  </si>
  <si>
    <t>Ingrid</t>
  </si>
  <si>
    <t>Ramón Nonato</t>
  </si>
  <si>
    <t>Dia Ceuta</t>
  </si>
  <si>
    <t>Rosalia</t>
  </si>
  <si>
    <t>Regina</t>
  </si>
  <si>
    <t>Catalunya</t>
  </si>
  <si>
    <t>Nombre Maria</t>
  </si>
  <si>
    <t>Exaltación Cruz</t>
  </si>
  <si>
    <t>Dia Cantabria</t>
  </si>
  <si>
    <t>Dia Melilla</t>
  </si>
  <si>
    <t>Jenaro</t>
  </si>
  <si>
    <t>Mateo</t>
  </si>
  <si>
    <t>Tecla</t>
  </si>
  <si>
    <t>N.S.Merced</t>
  </si>
  <si>
    <t>N.S.Fuensanta</t>
  </si>
  <si>
    <t>Florentino</t>
  </si>
  <si>
    <t>S.Arcángeles</t>
  </si>
  <si>
    <t>Jerónimo</t>
  </si>
  <si>
    <t>Angeles Cust.</t>
  </si>
  <si>
    <t>Francisco Asís</t>
  </si>
  <si>
    <t>Froilán</t>
  </si>
  <si>
    <t>Bruno</t>
  </si>
  <si>
    <t>N.S. Rosario</t>
  </si>
  <si>
    <t>N.S. Begoña</t>
  </si>
  <si>
    <t>El Pilar</t>
  </si>
  <si>
    <t>Teresa Jesús</t>
  </si>
  <si>
    <t>Lucas</t>
  </si>
  <si>
    <t>Irene</t>
  </si>
  <si>
    <t>Úrsula</t>
  </si>
  <si>
    <t>Ignacio</t>
  </si>
  <si>
    <t>Crispín</t>
  </si>
  <si>
    <t>Sabina</t>
  </si>
  <si>
    <t>Narciso</t>
  </si>
  <si>
    <t>Claudio</t>
  </si>
  <si>
    <t>Todos Santos</t>
  </si>
  <si>
    <t>Difuntos</t>
  </si>
  <si>
    <t>Carlos Borro.</t>
  </si>
  <si>
    <t>Zacarías</t>
  </si>
  <si>
    <t>Ernesto</t>
  </si>
  <si>
    <t>N.S.Almudena</t>
  </si>
  <si>
    <t>Leandro</t>
  </si>
  <si>
    <t>Clemente</t>
  </si>
  <si>
    <t>Edmundo</t>
  </si>
  <si>
    <t>Aurelio</t>
  </si>
  <si>
    <t>Fausto</t>
  </si>
  <si>
    <t>Octavio</t>
  </si>
  <si>
    <t>Presentación</t>
  </si>
  <si>
    <t>Cecilia</t>
  </si>
  <si>
    <t>Flora</t>
  </si>
  <si>
    <t>Andrés</t>
  </si>
  <si>
    <t>Constitución</t>
  </si>
  <si>
    <t>Ambrosio</t>
  </si>
  <si>
    <t>Leocadia</t>
  </si>
  <si>
    <t>N.S.Loreto</t>
  </si>
  <si>
    <t>Dámaso</t>
  </si>
  <si>
    <t>N.S.Guadalupe</t>
  </si>
  <si>
    <t>Lucía</t>
  </si>
  <si>
    <t>Lázaro</t>
  </si>
  <si>
    <t>Esperanza</t>
  </si>
  <si>
    <t>Victoria</t>
  </si>
  <si>
    <t>Natividad</t>
  </si>
  <si>
    <t>Esteban</t>
  </si>
  <si>
    <t>Inocentes</t>
  </si>
  <si>
    <t>Raúl</t>
  </si>
  <si>
    <t>Sivestre</t>
  </si>
  <si>
    <t>LLENA</t>
  </si>
  <si>
    <t>CUARTO M</t>
  </si>
  <si>
    <t>NUEVA</t>
  </si>
  <si>
    <t>CUARTO C</t>
  </si>
  <si>
    <t>Sta.Maria/Manuel</t>
  </si>
  <si>
    <t>Gregori Niça</t>
  </si>
  <si>
    <t>Juan Ribera</t>
  </si>
  <si>
    <t>Ángela Merici</t>
  </si>
  <si>
    <t>Marcel Spínola</t>
  </si>
  <si>
    <t>Raúl/Emma</t>
  </si>
  <si>
    <t>La Candelera</t>
  </si>
  <si>
    <t>Juan Ávila</t>
  </si>
  <si>
    <t>Escolástica</t>
  </si>
  <si>
    <t>Eladio</t>
  </si>
  <si>
    <t>Pedro Damián</t>
  </si>
  <si>
    <t>Jacinta</t>
  </si>
  <si>
    <t>Paula Montal</t>
  </si>
  <si>
    <t>Simplicio</t>
  </si>
  <si>
    <t>Emeterio</t>
  </si>
  <si>
    <t>José Oriol</t>
  </si>
  <si>
    <t>Cirilo</t>
  </si>
  <si>
    <t>Toribio</t>
  </si>
  <si>
    <t>Epigmenio</t>
  </si>
  <si>
    <t>Anunciación</t>
  </si>
  <si>
    <t>Ruperto</t>
  </si>
  <si>
    <t>Sixto</t>
  </si>
  <si>
    <t>Guillermo Tem.</t>
  </si>
  <si>
    <t>Benjamín/Balvina</t>
  </si>
  <si>
    <t>Francisco Paula</t>
  </si>
  <si>
    <t>Benito Palermo</t>
  </si>
  <si>
    <t>Juan Bta Salle</t>
  </si>
  <si>
    <t>Ezequiel</t>
  </si>
  <si>
    <t>Liduvina</t>
  </si>
  <si>
    <t>Teodor</t>
  </si>
  <si>
    <t>Pere Chanel</t>
  </si>
  <si>
    <t>José Obrero</t>
  </si>
  <si>
    <t>S.Cruces</t>
  </si>
  <si>
    <t>José Mª Rubio</t>
  </si>
  <si>
    <t>Verge Muntanya</t>
  </si>
  <si>
    <t>Domenech Savi</t>
  </si>
  <si>
    <t>Casilda</t>
  </si>
  <si>
    <t>Gemma</t>
  </si>
  <si>
    <t>Susana</t>
  </si>
  <si>
    <t>Beda</t>
  </si>
  <si>
    <t>Felipe Neri</t>
  </si>
  <si>
    <t>Agustí Cant.</t>
  </si>
  <si>
    <t>Clotilde</t>
  </si>
  <si>
    <t>Pere Verona</t>
  </si>
  <si>
    <t>Bonifacio</t>
  </si>
  <si>
    <t>Rosa Molas</t>
  </si>
  <si>
    <t>Antonio Padua</t>
  </si>
  <si>
    <t>Eliseo</t>
  </si>
  <si>
    <t>Quirico</t>
  </si>
  <si>
    <t>Ciriaco</t>
  </si>
  <si>
    <t>Cor Jesús</t>
  </si>
  <si>
    <t>Héctor</t>
  </si>
  <si>
    <t>Paulino</t>
  </si>
  <si>
    <t>Tomás</t>
  </si>
  <si>
    <t>Maria Goretti</t>
  </si>
  <si>
    <t>Gregorio</t>
  </si>
  <si>
    <t>Benedicto</t>
  </si>
  <si>
    <t>Marciana</t>
  </si>
  <si>
    <t>Buenaventura</t>
  </si>
  <si>
    <t>Justa y Rufina</t>
  </si>
  <si>
    <t>Arsenio</t>
  </si>
  <si>
    <t>Apolinario</t>
  </si>
  <si>
    <t>San Lorenzo</t>
  </si>
  <si>
    <t>Brígida</t>
  </si>
  <si>
    <t>Juliana</t>
  </si>
  <si>
    <t>Alfonso Mª</t>
  </si>
  <si>
    <t>Juan Maria</t>
  </si>
  <si>
    <t>Transfiguración</t>
  </si>
  <si>
    <t>Sixto II</t>
  </si>
  <si>
    <t>Juana Chantal</t>
  </si>
  <si>
    <t>Juan Eudes</t>
  </si>
  <si>
    <t>Bernardo</t>
  </si>
  <si>
    <t>Pío X</t>
  </si>
  <si>
    <t>José Calasanz</t>
  </si>
  <si>
    <t>Teresa J.Jornet</t>
  </si>
  <si>
    <t>Martirio S.Juan</t>
  </si>
  <si>
    <t>Verge Cinta</t>
  </si>
  <si>
    <t>Gregorio Magne</t>
  </si>
  <si>
    <t>Lorenzo Justin.</t>
  </si>
  <si>
    <t>Pedro Claver</t>
  </si>
  <si>
    <t>Nicolás Tol.</t>
  </si>
  <si>
    <t>Cornelio</t>
  </si>
  <si>
    <t>José Cupert.</t>
  </si>
  <si>
    <t>Digna y Emérita</t>
  </si>
  <si>
    <t>Cosme y Damián</t>
  </si>
  <si>
    <t>Venceslao</t>
  </si>
  <si>
    <t>Teresa N.Jesús</t>
  </si>
  <si>
    <t>Francisco Borja</t>
  </si>
  <si>
    <t>Luís Bertran</t>
  </si>
  <si>
    <t>Dionisio/C.Val.</t>
  </si>
  <si>
    <t>Tomás Villanueva</t>
  </si>
  <si>
    <t>Calixto</t>
  </si>
  <si>
    <t>Eduvigis</t>
  </si>
  <si>
    <t>Ignacio Ant.</t>
  </si>
  <si>
    <t>Pedro Alcant.</t>
  </si>
  <si>
    <t>María Salomé</t>
  </si>
  <si>
    <t>Juan Capistra.</t>
  </si>
  <si>
    <t>Antonio M.Claret</t>
  </si>
  <si>
    <t>Gilberto</t>
  </si>
  <si>
    <t>Simón y Judas</t>
  </si>
  <si>
    <t>Martí Porres</t>
  </si>
  <si>
    <t>Ángela Cruz</t>
  </si>
  <si>
    <t>Severo</t>
  </si>
  <si>
    <t>León</t>
  </si>
  <si>
    <t>Marti Tours</t>
  </si>
  <si>
    <t>Josafat</t>
  </si>
  <si>
    <t>Serapio</t>
  </si>
  <si>
    <t>Alberto Magno</t>
  </si>
  <si>
    <t>Margarita Esc.</t>
  </si>
  <si>
    <t>Isabel Hungr.</t>
  </si>
  <si>
    <t>Catalina Alej.</t>
  </si>
  <si>
    <t>Joan Berchmans</t>
  </si>
  <si>
    <t>Facundo</t>
  </si>
  <si>
    <t>Jaime Mata</t>
  </si>
  <si>
    <t>Saturnino</t>
  </si>
  <si>
    <t>Bibiana</t>
  </si>
  <si>
    <t>Juan Damasceno</t>
  </si>
  <si>
    <t>Pedro Pascual</t>
  </si>
  <si>
    <t>Juan de la Cruz</t>
  </si>
  <si>
    <t>Valeriano</t>
  </si>
  <si>
    <t>Josep Manyanet</t>
  </si>
  <si>
    <t>Urbano</t>
  </si>
  <si>
    <t>Domingo Silos</t>
  </si>
  <si>
    <t>Pedro Canisio</t>
  </si>
  <si>
    <t>Desiderio</t>
  </si>
  <si>
    <t>Delfín</t>
  </si>
  <si>
    <t>Juan Evang.</t>
  </si>
  <si>
    <t>Tomás Becket</t>
  </si>
  <si>
    <t>Francisco Jav</t>
  </si>
  <si>
    <t>Verge l'Avellà</t>
  </si>
  <si>
    <t>ASCENSIÓ</t>
  </si>
  <si>
    <t>Ascensió</t>
  </si>
  <si>
    <t>COR JESUS</t>
  </si>
  <si>
    <t>Cor Jesus</t>
  </si>
  <si>
    <t>Cor de Jesús</t>
  </si>
  <si>
    <t>Pentecostes</t>
  </si>
  <si>
    <t>CORPUS</t>
  </si>
  <si>
    <t>JOVENTUT</t>
  </si>
  <si>
    <t>Juventut</t>
  </si>
  <si>
    <t xml:space="preserve">Pentecostés </t>
  </si>
  <si>
    <t>PARA AÑOS MUY ANTERIORES PUEDEN EXISTIR FECHAS CONTRADICTORIAS"</t>
  </si>
  <si>
    <t>DIMECRES CENDRA</t>
  </si>
  <si>
    <t>ROMERIA AVELLA</t>
  </si>
  <si>
    <t>Romeria l'Avellà</t>
  </si>
  <si>
    <t>Cor de Jesus</t>
  </si>
  <si>
    <t>Santa Anna</t>
  </si>
  <si>
    <t>Pascua</t>
  </si>
  <si>
    <t>Primero de año</t>
  </si>
  <si>
    <t>Sant Josep</t>
  </si>
  <si>
    <t>Romeria</t>
  </si>
  <si>
    <t>l'Avellà</t>
  </si>
  <si>
    <t>. El calendario de Catí recoge las fiestas (nacionales, autonómicas y locales).</t>
  </si>
  <si>
    <t>. Incluye 13 fotografias sobre los principales monumentos del pueblo</t>
  </si>
  <si>
    <t>. Fiestas nacionales (1 enero, 6 enero, 19 marzo, 1 de mayo, 12 de octubre, 1 de noviembre, 6 de diciembre, 8 de diciembre, 25 diciembre)</t>
  </si>
  <si>
    <t>. Fiestas autonómicas (9 de octubre, San Vicente Ferrer)</t>
  </si>
  <si>
    <t>. Fiestas locales (8 de septiembre y 11 de noviembre) y otras (Romeria l'Avellà, Santa Anna)</t>
  </si>
  <si>
    <t>. Coloca en su día las fiestas del Corpus y de la Ascensión (en jueves antes de 1991 y en domingo a partir de ese año)</t>
  </si>
  <si>
    <t>. Contiene todo el santoral</t>
  </si>
  <si>
    <t>. Sitúa las fiestas de la juventud a partir del año 1980</t>
  </si>
  <si>
    <t>. Sitúa el calendario de vacaciones de Navidad y Pascua de los alumnos de enseñanza obligatoria.</t>
  </si>
  <si>
    <t>. Recoge las fases de la luna con una fiabilidad de +/- 1 dia</t>
  </si>
  <si>
    <t>FIABILIDAD</t>
  </si>
  <si>
    <t>. Del año 1 al 325 (Concilio de Nicea)-  Baja (cálculos teóricos)</t>
  </si>
  <si>
    <t>. Del año 326 al 1582 (modificación del calendario juliano)- Alta</t>
  </si>
  <si>
    <t>. Del año 1582 al 1900- Muy alta</t>
  </si>
  <si>
    <t>. Del año 1900 al 2100- Casi del 100 %</t>
  </si>
  <si>
    <t>. Del año 2101 en adelante- Baja la fiabilidad cuanto más alto es el año.</t>
  </si>
  <si>
    <t>. Recoge los datos reales del año 1582 (año que el mes de octubre solo tuvo 20 días)</t>
  </si>
  <si>
    <t>. Sólo se puede modificar la casilla del año de la portada. El resto están protegidas para evitar una alteración accidental de las fórmulas.</t>
  </si>
  <si>
    <t>. Fiestas móviles del año (Ceniza, Domingo de Ramos, Viernes Santo, Pascua, Lunes de Pascua, San Vicente Ferrer,  Pentecostés, Corazón de Jesús).</t>
  </si>
  <si>
    <t>. Algunos datos pueden ser contradictorios (fiestas que no existían en un año determinado, etc…)</t>
  </si>
  <si>
    <t>Dijous Sant</t>
  </si>
  <si>
    <t>Darrer</t>
  </si>
  <si>
    <t>1erVac</t>
  </si>
  <si>
    <t>I</t>
  </si>
  <si>
    <t>II</t>
  </si>
  <si>
    <t>III</t>
  </si>
  <si>
    <t>IV</t>
  </si>
  <si>
    <t>VI</t>
  </si>
  <si>
    <t>VII</t>
  </si>
  <si>
    <t>VIII</t>
  </si>
  <si>
    <t>XIX</t>
  </si>
  <si>
    <t xml:space="preserve">X </t>
  </si>
  <si>
    <t xml:space="preserve">XI </t>
  </si>
  <si>
    <t>XII</t>
  </si>
  <si>
    <t>XIII</t>
  </si>
  <si>
    <t>XIV</t>
  </si>
  <si>
    <t>XV</t>
  </si>
  <si>
    <t>XVI</t>
  </si>
  <si>
    <t>XVII</t>
  </si>
  <si>
    <t>XVIII</t>
  </si>
  <si>
    <t>Epacta</t>
  </si>
  <si>
    <t>Gregoriana</t>
  </si>
  <si>
    <t>LETRA DOMIICAL</t>
  </si>
  <si>
    <t>Último domingo</t>
  </si>
  <si>
    <t>LETRA DOMINICAL</t>
  </si>
  <si>
    <t>A</t>
  </si>
  <si>
    <t>G</t>
  </si>
  <si>
    <t>F</t>
  </si>
  <si>
    <t>E</t>
  </si>
  <si>
    <t>C</t>
  </si>
  <si>
    <t>B</t>
  </si>
  <si>
    <t>AG</t>
  </si>
  <si>
    <t>BA</t>
  </si>
  <si>
    <t>CB</t>
  </si>
  <si>
    <t>DC</t>
  </si>
  <si>
    <t>ED</t>
  </si>
  <si>
    <t>FE</t>
  </si>
  <si>
    <t>GF</t>
  </si>
  <si>
    <t>CONCURRENTE</t>
  </si>
  <si>
    <t>ABCDEFG</t>
  </si>
  <si>
    <t>CONCURRENTE PASQUAL</t>
  </si>
  <si>
    <t>INDICCION</t>
  </si>
  <si>
    <t>EPACTA JULIANA</t>
  </si>
  <si>
    <t>LUNA</t>
  </si>
  <si>
    <t>DOMINGO</t>
  </si>
  <si>
    <t>CLAVES</t>
  </si>
  <si>
    <t>22/03/</t>
  </si>
  <si>
    <t>CICLO LUNAR</t>
  </si>
  <si>
    <t>REGULAR PASCUAL</t>
  </si>
  <si>
    <t>LLL PASC</t>
  </si>
  <si>
    <t>MOVILES</t>
  </si>
  <si>
    <t>Num. Aureo</t>
  </si>
  <si>
    <t>Epacta Alejandrina</t>
  </si>
  <si>
    <t>Epacta juliana</t>
  </si>
  <si>
    <t>'Epacta</t>
  </si>
  <si>
    <t xml:space="preserve">        JE = (11 * (GN - 1)) Mod 30</t>
  </si>
  <si>
    <t xml:space="preserve">        Century = ((Year \ 100) + 1)</t>
  </si>
  <si>
    <t xml:space="preserve">        SE = (3 * Century) \ 4</t>
  </si>
  <si>
    <t xml:space="preserve">        LE = ((8 * Century) + 5) \ 25</t>
  </si>
  <si>
    <t xml:space="preserve">        EPn = JE - SE + LE + 8</t>
  </si>
  <si>
    <t>JE</t>
  </si>
  <si>
    <t>Century</t>
  </si>
  <si>
    <t>SE</t>
  </si>
  <si>
    <t>LE</t>
  </si>
  <si>
    <t>Epn</t>
  </si>
  <si>
    <t>EPACTA ALEJANDRINA</t>
  </si>
  <si>
    <t>NUMERO</t>
  </si>
  <si>
    <t xml:space="preserve">LETRA  </t>
  </si>
  <si>
    <t>MIÉRCOLES</t>
  </si>
  <si>
    <t>1R.DOMINGO</t>
  </si>
  <si>
    <t>JUEVES</t>
  </si>
  <si>
    <t>VIERNES</t>
  </si>
  <si>
    <t>LUNES</t>
  </si>
  <si>
    <t>SAN VTE</t>
  </si>
  <si>
    <t>ASCENSIÓN</t>
  </si>
  <si>
    <t>SANTISIMA</t>
  </si>
  <si>
    <t>CORAZON</t>
  </si>
  <si>
    <t>AÚREO</t>
  </si>
  <si>
    <t>DOMINICAL</t>
  </si>
  <si>
    <t>SEPTUAG</t>
  </si>
  <si>
    <t>CENIZA</t>
  </si>
  <si>
    <t>CUARESMA</t>
  </si>
  <si>
    <t>SANTO</t>
  </si>
  <si>
    <t>FERRER</t>
  </si>
  <si>
    <t>TRINIDAD</t>
  </si>
  <si>
    <t>CRISTI</t>
  </si>
  <si>
    <t>JESÚS</t>
  </si>
  <si>
    <t>ADVIENTO</t>
  </si>
  <si>
    <t>EPACTA ALEJ.</t>
  </si>
  <si>
    <t>REGULADOR</t>
  </si>
  <si>
    <t>PASCUAL</t>
  </si>
  <si>
    <t>LUNA LLENA</t>
  </si>
  <si>
    <t>mar</t>
  </si>
  <si>
    <t xml:space="preserve">abri </t>
  </si>
  <si>
    <t>1er Vacaciones</t>
  </si>
  <si>
    <t>Ult.dia vacaciones</t>
  </si>
  <si>
    <t>Vacaciones</t>
  </si>
  <si>
    <t>1r dia festes</t>
  </si>
  <si>
    <t>Ult.dia festes</t>
  </si>
  <si>
    <t>Cast-Mancha</t>
  </si>
  <si>
    <t>Cantabria</t>
  </si>
  <si>
    <t>Santiago/Galicia</t>
  </si>
  <si>
    <t>Jorge-Arag-Cast-León</t>
  </si>
  <si>
    <t>Dilluns Magdalena</t>
  </si>
  <si>
    <t>PRIMER DOMINGO DE ADVIENTO</t>
  </si>
  <si>
    <t>30/11/</t>
  </si>
  <si>
    <t>Basilio/Gregorio</t>
  </si>
  <si>
    <t>Alfredo/Julián</t>
  </si>
  <si>
    <t>Mauro/Raquel</t>
  </si>
  <si>
    <t>Fulgencio/Marcelo</t>
  </si>
  <si>
    <t>Francisco Sales</t>
  </si>
  <si>
    <t>Timoteo/Paula</t>
  </si>
  <si>
    <t>Alexis</t>
  </si>
  <si>
    <t>Álvaro</t>
  </si>
  <si>
    <t>Florencio</t>
  </si>
  <si>
    <t>Abelardo/Rebeca</t>
  </si>
  <si>
    <t>Benigno/Beatriz</t>
  </si>
  <si>
    <t>Elías/Samuel</t>
  </si>
  <si>
    <t>Eleuterio</t>
  </si>
  <si>
    <t>Rubén/Sergio</t>
  </si>
  <si>
    <t>Rufino/Rosendo</t>
  </si>
  <si>
    <t>Eugenia</t>
  </si>
  <si>
    <t>Alejandra</t>
  </si>
  <si>
    <t>PRIMER SEMESTRE</t>
  </si>
  <si>
    <t>SEGON SEMESTRE</t>
  </si>
  <si>
    <t>Día Marededéu de L'Avellà-Local</t>
  </si>
  <si>
    <t>Diada autonómica</t>
  </si>
  <si>
    <t>Todos los Santos</t>
  </si>
  <si>
    <t>Sant Martí-Fiesta Local</t>
  </si>
  <si>
    <t>Día Constitución</t>
  </si>
  <si>
    <t>Puente Constitución</t>
  </si>
  <si>
    <t>Navidad</t>
  </si>
  <si>
    <t>Año Nuevo</t>
  </si>
  <si>
    <t>Dilluns Magdalena- Fiesta Local</t>
  </si>
  <si>
    <t>VACACIONES</t>
  </si>
  <si>
    <t>DE</t>
  </si>
  <si>
    <t>Lunes de Pascua</t>
  </si>
  <si>
    <t>San Vicente</t>
  </si>
  <si>
    <t>Romeria Sant Pere- Fiesta Local</t>
  </si>
  <si>
    <t>Vírgen de la Asunción</t>
  </si>
  <si>
    <t>Otras fiestas/días no lectivos</t>
  </si>
  <si>
    <t>1er. día de curso</t>
  </si>
  <si>
    <t>Cambia días</t>
  </si>
  <si>
    <t>inicio y final</t>
  </si>
  <si>
    <t>de curso</t>
  </si>
  <si>
    <t>Último día de curso</t>
  </si>
  <si>
    <t>(celdas azules)</t>
  </si>
  <si>
    <t>Dias no lectivos septiembre</t>
  </si>
  <si>
    <t>Fiesta Local- Marededéu de L'Avellà</t>
  </si>
  <si>
    <t>Tot-Sants</t>
  </si>
  <si>
    <t>Constitució</t>
  </si>
  <si>
    <t>Puente</t>
  </si>
  <si>
    <t>Vacaciones Navidad</t>
  </si>
  <si>
    <t>Sábado Santo</t>
  </si>
  <si>
    <t>Domingo Pascua</t>
  </si>
  <si>
    <t>Vacaciones Pascua</t>
  </si>
  <si>
    <t>Dias no lectivos junio</t>
  </si>
  <si>
    <t>Vacaciones verano</t>
  </si>
  <si>
    <t>TOTAL</t>
  </si>
  <si>
    <t>Días lectivos escolares</t>
  </si>
  <si>
    <t>Días laborables</t>
  </si>
  <si>
    <t>Total semestre</t>
  </si>
  <si>
    <t>TOTAL DÍAS AÑO</t>
  </si>
  <si>
    <t>Domingo Pascua Resurrección</t>
  </si>
  <si>
    <t>Rom.Sant Pere</t>
  </si>
  <si>
    <t>Nota: El programa garantiza los resultados sólo del año 1901 al 2100. Modifica el año a través de la barra de desplazamiento y los días festivos en la hoja año</t>
  </si>
  <si>
    <t>Julián y Basilisa</t>
  </si>
  <si>
    <t>Amelia/Simeón</t>
  </si>
  <si>
    <t>Lorenzo/Gúdula</t>
  </si>
  <si>
    <t>Prisca/Margarita</t>
  </si>
  <si>
    <t>Pedro Nolasco</t>
  </si>
  <si>
    <t>Martina/Jacinta</t>
  </si>
  <si>
    <t>Juan de Diós</t>
  </si>
  <si>
    <t>Juan Ogilvie</t>
  </si>
  <si>
    <t>Inocencio</t>
  </si>
  <si>
    <t>Abraham</t>
  </si>
  <si>
    <t>Irene/Ricardo</t>
  </si>
  <si>
    <t>Celestino/Samuel</t>
  </si>
  <si>
    <t>Dionisio</t>
  </si>
  <si>
    <t>Marcelo/Casilda</t>
  </si>
  <si>
    <t>Agapito/Sotero</t>
  </si>
  <si>
    <t>Isidoro</t>
  </si>
  <si>
    <t>Emilio/Germán</t>
  </si>
  <si>
    <t>Justo/Maximino</t>
  </si>
  <si>
    <t>Luis Gonzaga</t>
  </si>
  <si>
    <t>N.Sª Socorro</t>
  </si>
  <si>
    <t>Aarón</t>
  </si>
  <si>
    <t>Antonio Maria</t>
  </si>
  <si>
    <t>Juan Crisóstomo</t>
  </si>
  <si>
    <t>Quintín</t>
  </si>
  <si>
    <t>Rom</t>
  </si>
  <si>
    <t>Pont Constitució-Immaculada</t>
  </si>
  <si>
    <t>Local</t>
  </si>
  <si>
    <t>Romeria Sant Pere- Local</t>
  </si>
  <si>
    <t xml:space="preserve">LUNA LLENA PASCUAL
</t>
  </si>
  <si>
    <t>L'Assumpció</t>
  </si>
  <si>
    <t>Dia Mare de Déu</t>
  </si>
  <si>
    <t>Cap d'Any</t>
  </si>
  <si>
    <t>Reis</t>
  </si>
  <si>
    <t>Constitució-Pont- Puríssima</t>
  </si>
  <si>
    <t>Nadal</t>
  </si>
  <si>
    <t>Treball</t>
  </si>
  <si>
    <t>Assumpció</t>
  </si>
  <si>
    <t>Festes Majors</t>
  </si>
  <si>
    <t>Festes d'Agost</t>
  </si>
  <si>
    <t>Fira peraires</t>
  </si>
  <si>
    <t>Cursa muntanya</t>
  </si>
  <si>
    <t>Sant Joan</t>
  </si>
  <si>
    <t>Miér. Ceniza</t>
  </si>
  <si>
    <t>San Vicent Ferrer</t>
  </si>
  <si>
    <t>nacionales</t>
  </si>
  <si>
    <t xml:space="preserve">Fiestas </t>
  </si>
  <si>
    <t>LOCALS</t>
  </si>
  <si>
    <t>AUTONO</t>
  </si>
  <si>
    <t>Romeria S.Pere Castellfort</t>
  </si>
  <si>
    <t>Rom. Avellà</t>
  </si>
  <si>
    <t>Romeria S.Vicent</t>
  </si>
  <si>
    <t>9- set</t>
  </si>
  <si>
    <t>Fira Trufa</t>
  </si>
  <si>
    <t>Romeria Catí a Sant Pere (700 anys) (1321-2021)- 30 abril- 1 maig 2022</t>
  </si>
  <si>
    <t>Processó de les torxes- 1 de maig 2022</t>
  </si>
  <si>
    <t>Arribada al poble de la Rogativa</t>
  </si>
  <si>
    <t>Creu i banderes</t>
  </si>
  <si>
    <t>El Bispe de Tortosa presidint la Rogativa.</t>
  </si>
  <si>
    <t>El Sr. Bisbe, Alcalde, President Diputació i cantadors</t>
  </si>
  <si>
    <t>Files de capes a l'arribada de la Rogativa a Catí</t>
  </si>
  <si>
    <t>Vanessa Celma primera dona cantadora en la història de la Rogativa catinenca.</t>
  </si>
  <si>
    <t>Entrada de la Rogativa a l'Esglèsia Parroquial</t>
  </si>
  <si>
    <t xml:space="preserve"> "Mare de Déu de la Font"- Castellfort</t>
  </si>
  <si>
    <t>Entrada Rogativa a Ares del Maestrat</t>
  </si>
  <si>
    <t>Els membres més jovens de la Rogativa amb un ciri</t>
  </si>
  <si>
    <t>Els quatre romers de més edat porten la peanya de S.Pere</t>
  </si>
  <si>
    <t>Decoració Rotonda sud de Catí</t>
  </si>
  <si>
    <t>(Actualizado 15-12-2023)</t>
  </si>
  <si>
    <t>22-24: Sant Joan</t>
  </si>
</sst>
</file>

<file path=xl/styles.xml><?xml version="1.0" encoding="utf-8"?>
<styleSheet xmlns="http://schemas.openxmlformats.org/spreadsheetml/2006/main">
  <numFmts count="11">
    <numFmt numFmtId="43" formatCode="_-* #,##0.00\ _€_-;\-* #,##0.00\ _€_-;_-* &quot;-&quot;??\ _€_-;_-@_-"/>
    <numFmt numFmtId="164" formatCode="0.000"/>
    <numFmt numFmtId="165" formatCode="#,##0_ ;\-#,##0\ "/>
    <numFmt numFmtId="166" formatCode="_-* #,##0.00\ [$€]_-;\-* #,##0.00\ [$€]_-;_-* &quot;-&quot;??\ [$€]_-;_-@_-"/>
    <numFmt numFmtId="167" formatCode="0.0"/>
    <numFmt numFmtId="168" formatCode="[$-C0A]d\-mmm;@"/>
    <numFmt numFmtId="169" formatCode="dd\-mm\-yy;@"/>
    <numFmt numFmtId="170" formatCode="[$-C0A]d\-mmm\-yy;@"/>
    <numFmt numFmtId="171" formatCode="d\-m\-yyyy;@"/>
    <numFmt numFmtId="172" formatCode="d\-m;@"/>
    <numFmt numFmtId="173" formatCode="d"/>
  </numFmts>
  <fonts count="12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4"/>
      <name val="Arial"/>
      <family val="2"/>
    </font>
    <font>
      <b/>
      <sz val="10"/>
      <color indexed="10"/>
      <name val="Arial"/>
      <family val="2"/>
    </font>
    <font>
      <b/>
      <sz val="16"/>
      <name val="Arial"/>
      <family val="2"/>
    </font>
    <font>
      <sz val="14"/>
      <name val="Arial"/>
      <family val="2"/>
    </font>
    <font>
      <b/>
      <sz val="8"/>
      <name val="Arial"/>
      <family val="2"/>
    </font>
    <font>
      <b/>
      <sz val="8"/>
      <color indexed="8"/>
      <name val="Arial"/>
      <family val="2"/>
    </font>
    <font>
      <b/>
      <sz val="8"/>
      <color indexed="10"/>
      <name val="Arial"/>
      <family val="2"/>
    </font>
    <font>
      <b/>
      <sz val="8"/>
      <color indexed="9"/>
      <name val="Arial"/>
      <family val="2"/>
    </font>
    <font>
      <sz val="10"/>
      <color indexed="10"/>
      <name val="Arial"/>
      <family val="2"/>
    </font>
    <font>
      <b/>
      <sz val="12"/>
      <color indexed="10"/>
      <name val="Arial"/>
      <family val="2"/>
    </font>
    <font>
      <b/>
      <sz val="11"/>
      <color indexed="10"/>
      <name val="Arial"/>
      <family val="2"/>
    </font>
    <font>
      <b/>
      <sz val="6"/>
      <color indexed="10"/>
      <name val="Arial"/>
      <family val="2"/>
    </font>
    <font>
      <b/>
      <sz val="7"/>
      <name val="Arial"/>
      <family val="2"/>
    </font>
    <font>
      <b/>
      <sz val="7"/>
      <color indexed="10"/>
      <name val="Arial"/>
      <family val="2"/>
    </font>
    <font>
      <b/>
      <sz val="8"/>
      <color indexed="13"/>
      <name val="Arial"/>
      <family val="2"/>
    </font>
    <font>
      <sz val="8"/>
      <name val="Arial"/>
      <family val="2"/>
    </font>
    <font>
      <b/>
      <sz val="5"/>
      <name val="Arial"/>
      <family val="2"/>
    </font>
    <font>
      <sz val="8"/>
      <color indexed="10"/>
      <name val="Arial"/>
      <family val="2"/>
    </font>
    <font>
      <sz val="8"/>
      <name val="Arial"/>
      <family val="2"/>
    </font>
    <font>
      <sz val="8"/>
      <color indexed="10"/>
      <name val="Arial"/>
      <family val="2"/>
    </font>
    <font>
      <b/>
      <sz val="8"/>
      <color indexed="10"/>
      <name val="Arial"/>
      <family val="2"/>
    </font>
    <font>
      <b/>
      <sz val="9"/>
      <name val="Arial"/>
      <family val="2"/>
    </font>
    <font>
      <b/>
      <sz val="9"/>
      <color indexed="12"/>
      <name val="Arial"/>
      <family val="2"/>
    </font>
    <font>
      <b/>
      <sz val="10"/>
      <color indexed="13"/>
      <name val="Arial"/>
      <family val="2"/>
    </font>
    <font>
      <sz val="9"/>
      <color indexed="81"/>
      <name val="Tahoma"/>
      <family val="2"/>
    </font>
    <font>
      <b/>
      <sz val="9"/>
      <color indexed="10"/>
      <name val="Arial"/>
      <family val="2"/>
    </font>
    <font>
      <sz val="10"/>
      <name val="Arial"/>
      <family val="2"/>
    </font>
    <font>
      <b/>
      <sz val="11"/>
      <name val="Arial"/>
      <family val="2"/>
    </font>
    <font>
      <b/>
      <sz val="24"/>
      <name val="Arial"/>
      <family val="2"/>
    </font>
    <font>
      <u/>
      <sz val="10"/>
      <color indexed="12"/>
      <name val="Arial"/>
      <family val="2"/>
    </font>
    <font>
      <sz val="7"/>
      <name val="Arial"/>
      <family val="2"/>
    </font>
    <font>
      <b/>
      <i/>
      <sz val="10"/>
      <name val="Arial"/>
      <family val="2"/>
    </font>
    <font>
      <b/>
      <sz val="10"/>
      <color indexed="8"/>
      <name val="Arial"/>
      <family val="2"/>
    </font>
    <font>
      <b/>
      <sz val="11"/>
      <color indexed="8"/>
      <name val="Arial"/>
      <family val="2"/>
    </font>
    <font>
      <b/>
      <sz val="12"/>
      <name val="Arial"/>
      <family val="2"/>
    </font>
    <font>
      <sz val="10"/>
      <color indexed="12"/>
      <name val="Arial"/>
      <family val="2"/>
    </font>
    <font>
      <sz val="10"/>
      <color indexed="9"/>
      <name val="Arial"/>
      <family val="2"/>
    </font>
    <font>
      <b/>
      <sz val="11"/>
      <color indexed="9"/>
      <name val="Arial"/>
      <family val="2"/>
    </font>
    <font>
      <b/>
      <sz val="5"/>
      <color indexed="10"/>
      <name val="Arial"/>
      <family val="2"/>
    </font>
    <font>
      <b/>
      <i/>
      <u/>
      <sz val="12"/>
      <name val="Arial"/>
      <family val="2"/>
    </font>
    <font>
      <sz val="12"/>
      <name val="Arial"/>
      <family val="2"/>
    </font>
    <font>
      <b/>
      <i/>
      <sz val="12"/>
      <name val="Arial"/>
      <family val="2"/>
    </font>
    <font>
      <b/>
      <sz val="10"/>
      <color indexed="49"/>
      <name val="Arial"/>
      <family val="2"/>
    </font>
    <font>
      <b/>
      <u/>
      <sz val="10"/>
      <color indexed="13"/>
      <name val="Arial"/>
      <family val="2"/>
    </font>
    <font>
      <b/>
      <sz val="28"/>
      <name val="Arial"/>
      <family val="2"/>
    </font>
    <font>
      <b/>
      <i/>
      <sz val="22"/>
      <name val="Arial"/>
      <family val="2"/>
    </font>
    <font>
      <b/>
      <sz val="20"/>
      <color indexed="17"/>
      <name val="Arial"/>
      <family val="2"/>
    </font>
    <font>
      <b/>
      <u/>
      <sz val="20"/>
      <color indexed="17"/>
      <name val="Arial"/>
      <family val="2"/>
    </font>
    <font>
      <b/>
      <sz val="18"/>
      <color indexed="17"/>
      <name val="Arial"/>
      <family val="2"/>
    </font>
    <font>
      <b/>
      <sz val="28"/>
      <color indexed="10"/>
      <name val="Arial"/>
      <family val="2"/>
    </font>
    <font>
      <b/>
      <sz val="16"/>
      <color indexed="17"/>
      <name val="Arial"/>
      <family val="2"/>
    </font>
    <font>
      <b/>
      <sz val="12"/>
      <color indexed="17"/>
      <name val="Arial"/>
      <family val="2"/>
    </font>
    <font>
      <b/>
      <sz val="14"/>
      <color indexed="17"/>
      <name val="Arial"/>
      <family val="2"/>
    </font>
    <font>
      <b/>
      <u/>
      <sz val="8"/>
      <color indexed="12"/>
      <name val="Arial"/>
      <family val="2"/>
    </font>
    <font>
      <b/>
      <u/>
      <sz val="9"/>
      <color indexed="12"/>
      <name val="Arial"/>
      <family val="2"/>
    </font>
    <font>
      <b/>
      <u/>
      <sz val="18"/>
      <color indexed="12"/>
      <name val="Arial"/>
      <family val="2"/>
    </font>
    <font>
      <b/>
      <sz val="9"/>
      <color indexed="13"/>
      <name val="Arial"/>
      <family val="2"/>
    </font>
    <font>
      <b/>
      <sz val="16"/>
      <color indexed="9"/>
      <name val="Arial"/>
      <family val="2"/>
    </font>
    <font>
      <b/>
      <sz val="10"/>
      <color indexed="9"/>
      <name val="Arial"/>
      <family val="2"/>
    </font>
    <font>
      <b/>
      <u/>
      <sz val="12"/>
      <color indexed="13"/>
      <name val="Arial"/>
      <family val="2"/>
    </font>
    <font>
      <b/>
      <u/>
      <sz val="11"/>
      <color indexed="13"/>
      <name val="Arial"/>
      <family val="2"/>
    </font>
    <font>
      <sz val="7"/>
      <name val="Arial"/>
      <family val="2"/>
    </font>
    <font>
      <b/>
      <sz val="8"/>
      <color indexed="12"/>
      <name val="Arial"/>
      <family val="2"/>
    </font>
    <font>
      <b/>
      <sz val="12"/>
      <color indexed="9"/>
      <name val="Arial"/>
      <family val="2"/>
    </font>
    <font>
      <b/>
      <sz val="28"/>
      <color indexed="8"/>
      <name val="Arial"/>
      <family val="2"/>
    </font>
    <font>
      <sz val="8"/>
      <color indexed="12"/>
      <name val="Arial"/>
      <family val="2"/>
    </font>
    <font>
      <b/>
      <sz val="8"/>
      <color rgb="FFFFFF00"/>
      <name val="Arial"/>
      <family val="2"/>
    </font>
    <font>
      <sz val="8"/>
      <color rgb="FFFFFF00"/>
      <name val="Arial"/>
      <family val="2"/>
    </font>
    <font>
      <b/>
      <sz val="8"/>
      <color theme="1"/>
      <name val="Arial"/>
      <family val="2"/>
    </font>
    <font>
      <b/>
      <sz val="8"/>
      <color theme="0"/>
      <name val="Arial"/>
      <family val="2"/>
    </font>
    <font>
      <b/>
      <sz val="28"/>
      <color theme="1"/>
      <name val="Arial"/>
      <family val="2"/>
    </font>
    <font>
      <sz val="8"/>
      <color theme="1"/>
      <name val="Arial"/>
      <family val="2"/>
    </font>
    <font>
      <b/>
      <sz val="8"/>
      <color rgb="FFFF0000"/>
      <name val="Arial"/>
      <family val="2"/>
    </font>
    <font>
      <b/>
      <sz val="28"/>
      <color theme="0"/>
      <name val="Arial"/>
      <family val="2"/>
    </font>
    <font>
      <sz val="9"/>
      <name val="Arial"/>
      <family val="2"/>
    </font>
    <font>
      <sz val="10"/>
      <color rgb="FFFF0000"/>
      <name val="Arial"/>
      <family val="2"/>
    </font>
    <font>
      <sz val="8"/>
      <name val="Calibri"/>
      <family val="2"/>
      <scheme val="minor"/>
    </font>
    <font>
      <b/>
      <sz val="8"/>
      <name val="Calibri"/>
      <family val="2"/>
      <scheme val="minor"/>
    </font>
    <font>
      <b/>
      <sz val="10"/>
      <color theme="0"/>
      <name val="Arial"/>
      <family val="2"/>
    </font>
    <font>
      <sz val="10"/>
      <color theme="0"/>
      <name val="Arial"/>
      <family val="2"/>
    </font>
    <font>
      <b/>
      <sz val="11"/>
      <color theme="0"/>
      <name val="Arial"/>
      <family val="2"/>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theme="1"/>
      <name val="Calibri"/>
      <family val="2"/>
      <scheme val="minor"/>
    </font>
    <font>
      <b/>
      <sz val="9"/>
      <color theme="0"/>
      <name val="Arial"/>
      <family val="2"/>
    </font>
    <font>
      <b/>
      <sz val="9"/>
      <color theme="1"/>
      <name val="Calibri"/>
      <family val="2"/>
      <scheme val="minor"/>
    </font>
    <font>
      <b/>
      <sz val="8"/>
      <color theme="0"/>
      <name val="Calibri"/>
      <family val="2"/>
      <scheme val="minor"/>
    </font>
    <font>
      <b/>
      <sz val="8"/>
      <color theme="1"/>
      <name val="Calibri"/>
      <family val="2"/>
      <scheme val="minor"/>
    </font>
    <font>
      <b/>
      <sz val="7"/>
      <name val="Calibri"/>
      <family val="2"/>
      <scheme val="minor"/>
    </font>
    <font>
      <b/>
      <sz val="7"/>
      <color theme="0"/>
      <name val="Calibri"/>
      <family val="2"/>
      <scheme val="minor"/>
    </font>
    <font>
      <b/>
      <sz val="10"/>
      <color theme="1"/>
      <name val="Arial"/>
      <family val="2"/>
    </font>
    <font>
      <sz val="8"/>
      <color theme="0"/>
      <name val="Arial"/>
      <family val="2"/>
    </font>
    <font>
      <sz val="9"/>
      <color theme="0"/>
      <name val="Arial"/>
      <family val="2"/>
    </font>
    <font>
      <b/>
      <sz val="28"/>
      <color rgb="FFFF0000"/>
      <name val="Arial"/>
      <family val="2"/>
    </font>
    <font>
      <b/>
      <sz val="9"/>
      <color theme="1"/>
      <name val="Arial"/>
      <family val="2"/>
    </font>
    <font>
      <sz val="9"/>
      <color theme="1"/>
      <name val="Arial"/>
      <family val="2"/>
    </font>
    <font>
      <b/>
      <sz val="20"/>
      <color rgb="FFFFFF00"/>
      <name val="Arial"/>
      <family val="2"/>
    </font>
    <font>
      <b/>
      <sz val="9"/>
      <color rgb="FFFFFF00"/>
      <name val="Arial"/>
      <family val="2"/>
    </font>
    <font>
      <b/>
      <sz val="10"/>
      <color rgb="FFFFFF00"/>
      <name val="Arial"/>
      <family val="2"/>
    </font>
    <font>
      <b/>
      <u/>
      <sz val="10"/>
      <name val="Arial"/>
      <family val="2"/>
    </font>
    <font>
      <b/>
      <sz val="10"/>
      <color rgb="FF33CCFF"/>
      <name val="Arial"/>
      <family val="2"/>
    </font>
    <font>
      <b/>
      <sz val="11"/>
      <color rgb="FFFFFF00"/>
      <name val="Arial"/>
      <family val="2"/>
    </font>
    <font>
      <b/>
      <sz val="11"/>
      <color indexed="13"/>
      <name val="Arial"/>
      <family val="2"/>
    </font>
    <font>
      <b/>
      <sz val="10"/>
      <color indexed="18"/>
      <name val="Arial"/>
      <family val="2"/>
    </font>
    <font>
      <b/>
      <sz val="10"/>
      <color rgb="FFFF0000"/>
      <name val="Arial"/>
      <family val="2"/>
    </font>
    <font>
      <b/>
      <sz val="18"/>
      <name val="Arial"/>
      <family val="2"/>
    </font>
    <font>
      <b/>
      <sz val="22"/>
      <name val="Arial"/>
      <family val="2"/>
    </font>
    <font>
      <b/>
      <sz val="9"/>
      <color indexed="8"/>
      <name val="Arial"/>
      <family val="2"/>
    </font>
    <font>
      <b/>
      <sz val="9"/>
      <color indexed="9"/>
      <name val="Arial"/>
      <family val="2"/>
    </font>
    <font>
      <sz val="11"/>
      <name val="Arial"/>
      <family val="2"/>
    </font>
    <font>
      <sz val="9"/>
      <color indexed="13"/>
      <name val="Arial"/>
      <family val="2"/>
    </font>
    <font>
      <sz val="16"/>
      <name val="Arial"/>
      <family val="2"/>
    </font>
    <font>
      <sz val="18"/>
      <name val="Arial"/>
      <family val="2"/>
    </font>
    <font>
      <b/>
      <i/>
      <sz val="16"/>
      <name val="Arial"/>
      <family val="2"/>
    </font>
    <font>
      <b/>
      <sz val="28"/>
      <color rgb="FFFFFF00"/>
      <name val="Arial"/>
      <family val="2"/>
    </font>
  </fonts>
  <fills count="62">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10"/>
        <bgColor indexed="64"/>
      </patternFill>
    </fill>
    <fill>
      <patternFill patternType="solid">
        <fgColor indexed="12"/>
        <bgColor indexed="64"/>
      </patternFill>
    </fill>
    <fill>
      <patternFill patternType="solid">
        <fgColor indexed="18"/>
        <bgColor indexed="64"/>
      </patternFill>
    </fill>
    <fill>
      <patternFill patternType="solid">
        <fgColor indexed="13"/>
        <bgColor indexed="64"/>
      </patternFill>
    </fill>
    <fill>
      <patternFill patternType="solid">
        <fgColor indexed="14"/>
        <bgColor indexed="64"/>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52"/>
        <bgColor indexed="64"/>
      </patternFill>
    </fill>
    <fill>
      <patternFill patternType="solid">
        <fgColor indexed="53"/>
        <bgColor indexed="64"/>
      </patternFill>
    </fill>
    <fill>
      <patternFill patternType="solid">
        <fgColor indexed="48"/>
        <bgColor indexed="64"/>
      </patternFill>
    </fill>
    <fill>
      <patternFill patternType="solid">
        <fgColor indexed="49"/>
        <bgColor indexed="64"/>
      </patternFill>
    </fill>
    <fill>
      <patternFill patternType="solid">
        <fgColor indexed="8"/>
        <bgColor indexed="64"/>
      </patternFill>
    </fill>
    <fill>
      <patternFill patternType="solid">
        <fgColor indexed="55"/>
        <bgColor indexed="64"/>
      </patternFill>
    </fill>
    <fill>
      <patternFill patternType="solid">
        <fgColor indexed="50"/>
        <bgColor indexed="64"/>
      </patternFill>
    </fill>
    <fill>
      <patternFill patternType="solid">
        <fgColor indexed="22"/>
        <bgColor indexed="64"/>
      </patternFill>
    </fill>
    <fill>
      <patternFill patternType="solid">
        <fgColor indexed="60"/>
        <bgColor indexed="64"/>
      </patternFill>
    </fill>
    <fill>
      <patternFill patternType="solid">
        <fgColor indexed="29"/>
        <bgColor indexed="64"/>
      </patternFill>
    </fill>
    <fill>
      <patternFill patternType="solid">
        <fgColor indexed="30"/>
        <bgColor indexed="64"/>
      </patternFill>
    </fill>
    <fill>
      <patternFill patternType="solid">
        <fgColor indexed="34"/>
        <bgColor indexed="64"/>
      </patternFill>
    </fill>
    <fill>
      <patternFill patternType="solid">
        <fgColor indexed="27"/>
        <bgColor indexed="64"/>
      </patternFill>
    </fill>
    <fill>
      <patternFill patternType="solid">
        <fgColor indexed="51"/>
        <bgColor indexed="64"/>
      </patternFill>
    </fill>
    <fill>
      <patternFill patternType="solid">
        <fgColor indexed="40"/>
        <bgColor indexed="64"/>
      </patternFill>
    </fill>
    <fill>
      <patternFill patternType="solid">
        <fgColor indexed="42"/>
        <bgColor indexed="64"/>
      </patternFill>
    </fill>
    <fill>
      <patternFill patternType="solid">
        <fgColor indexed="15"/>
        <bgColor indexed="64"/>
      </patternFill>
    </fill>
    <fill>
      <patternFill patternType="solid">
        <fgColor indexed="62"/>
        <bgColor indexed="64"/>
      </patternFill>
    </fill>
    <fill>
      <patternFill patternType="solid">
        <fgColor indexed="45"/>
        <bgColor indexed="64"/>
      </patternFill>
    </fill>
    <fill>
      <patternFill patternType="solid">
        <fgColor indexed="17"/>
        <bgColor indexed="64"/>
      </patternFill>
    </fill>
    <fill>
      <patternFill patternType="solid">
        <fgColor indexed="23"/>
        <bgColor indexed="64"/>
      </patternFill>
    </fill>
    <fill>
      <patternFill patternType="solid">
        <fgColor indexed="54"/>
        <bgColor indexed="64"/>
      </patternFill>
    </fill>
    <fill>
      <patternFill patternType="solid">
        <fgColor indexed="16"/>
        <bgColor indexed="64"/>
      </patternFill>
    </fill>
    <fill>
      <patternFill patternType="solid">
        <fgColor rgb="FFFF0000"/>
        <bgColor indexed="64"/>
      </patternFill>
    </fill>
    <fill>
      <patternFill patternType="solid">
        <fgColor rgb="FF008000"/>
        <bgColor indexed="64"/>
      </patternFill>
    </fill>
    <fill>
      <patternFill patternType="solid">
        <fgColor theme="1"/>
        <bgColor indexed="64"/>
      </patternFill>
    </fill>
    <fill>
      <patternFill patternType="solid">
        <fgColor rgb="FF00B050"/>
        <bgColor indexed="64"/>
      </patternFill>
    </fill>
    <fill>
      <patternFill patternType="solid">
        <fgColor theme="0"/>
        <bgColor indexed="64"/>
      </patternFill>
    </fill>
    <fill>
      <patternFill patternType="solid">
        <fgColor rgb="FF7030A0"/>
        <bgColor indexed="64"/>
      </patternFill>
    </fill>
    <fill>
      <patternFill patternType="solid">
        <fgColor rgb="FFFFFF00"/>
        <bgColor indexed="64"/>
      </patternFill>
    </fill>
    <fill>
      <patternFill patternType="solid">
        <fgColor rgb="FF00B0F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8"/>
        <bgColor indexed="64"/>
      </patternFill>
    </fill>
    <fill>
      <patternFill patternType="solid">
        <fgColor rgb="FFCCFFFF"/>
        <bgColor indexed="64"/>
      </patternFill>
    </fill>
    <fill>
      <patternFill patternType="solid">
        <fgColor rgb="FFFFC000"/>
        <bgColor indexed="64"/>
      </patternFill>
    </fill>
    <fill>
      <patternFill patternType="solid">
        <fgColor rgb="FF009900"/>
        <bgColor indexed="64"/>
      </patternFill>
    </fill>
    <fill>
      <patternFill patternType="solid">
        <fgColor theme="8" tint="0.79998168889431442"/>
        <bgColor indexed="64"/>
      </patternFill>
    </fill>
    <fill>
      <patternFill patternType="solid">
        <fgColor rgb="FF0033CC"/>
        <bgColor indexed="64"/>
      </patternFill>
    </fill>
    <fill>
      <patternFill patternType="solid">
        <fgColor rgb="FFFF99FF"/>
        <bgColor indexed="64"/>
      </patternFill>
    </fill>
    <fill>
      <patternFill patternType="solid">
        <fgColor rgb="FF33CCFF"/>
        <bgColor indexed="64"/>
      </patternFill>
    </fill>
    <fill>
      <patternFill patternType="solid">
        <fgColor rgb="FF00FF00"/>
        <bgColor indexed="64"/>
      </patternFill>
    </fill>
    <fill>
      <patternFill patternType="solid">
        <fgColor rgb="FF0070C0"/>
        <bgColor indexed="64"/>
      </patternFill>
    </fill>
    <fill>
      <patternFill patternType="solid">
        <fgColor rgb="FF66FF33"/>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rgb="FFFFFF66"/>
        <bgColor indexed="64"/>
      </patternFill>
    </fill>
    <fill>
      <patternFill patternType="solid">
        <fgColor theme="1" tint="4.9989318521683403E-2"/>
        <bgColor indexed="64"/>
      </patternFill>
    </fill>
    <fill>
      <patternFill patternType="solid">
        <fgColor rgb="FFFFCC99"/>
        <bgColor indexed="64"/>
      </patternFill>
    </fill>
    <fill>
      <patternFill patternType="solid">
        <fgColor rgb="FF002060"/>
        <bgColor indexed="64"/>
      </patternFill>
    </fill>
  </fills>
  <borders count="92">
    <border>
      <left/>
      <right/>
      <top/>
      <bottom/>
      <diagonal/>
    </border>
    <border>
      <left style="thin">
        <color indexed="9"/>
      </left>
      <right style="thin">
        <color indexed="9"/>
      </right>
      <top style="thin">
        <color indexed="9"/>
      </top>
      <bottom style="thin">
        <color indexed="9"/>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thick">
        <color indexed="64"/>
      </right>
      <top style="thick">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diagonal/>
    </border>
    <border>
      <left/>
      <right style="thin">
        <color indexed="64"/>
      </right>
      <top style="thick">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ck">
        <color indexed="64"/>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auto="1"/>
      </top>
      <bottom/>
      <diagonal/>
    </border>
    <border>
      <left style="thin">
        <color auto="1"/>
      </left>
      <right/>
      <top/>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s>
  <cellStyleXfs count="30">
    <xf numFmtId="0" fontId="0" fillId="0" borderId="0"/>
    <xf numFmtId="166" fontId="4" fillId="0" borderId="0" applyFont="0" applyFill="0" applyBorder="0" applyAlignment="0" applyProtection="0"/>
    <xf numFmtId="0" fontId="35" fillId="0" borderId="0" applyNumberFormat="0" applyFill="0" applyBorder="0" applyAlignment="0" applyProtection="0">
      <alignment vertical="top"/>
      <protection locked="0"/>
    </xf>
    <xf numFmtId="0" fontId="3" fillId="0" borderId="0"/>
    <xf numFmtId="0" fontId="4" fillId="0" borderId="0"/>
    <xf numFmtId="0" fontId="4" fillId="0" borderId="0"/>
    <xf numFmtId="43" fontId="4" fillId="0" borderId="0" applyFont="0" applyFill="0" applyBorder="0" applyAlignment="0" applyProtection="0"/>
    <xf numFmtId="0" fontId="3" fillId="0" borderId="0"/>
    <xf numFmtId="0" fontId="4" fillId="0" borderId="0"/>
    <xf numFmtId="0" fontId="10" fillId="26" borderId="2">
      <alignment horizontal="center"/>
      <protection locked="0" hidden="1"/>
    </xf>
    <xf numFmtId="0" fontId="3" fillId="0" borderId="0"/>
    <xf numFmtId="43" fontId="3" fillId="0" borderId="0" applyFont="0" applyFill="0" applyBorder="0" applyAlignment="0" applyProtection="0"/>
    <xf numFmtId="0" fontId="4" fillId="0" borderId="0"/>
    <xf numFmtId="0" fontId="35" fillId="0" borderId="0" applyNumberFormat="0" applyFill="0" applyBorder="0" applyAlignment="0" applyProtection="0">
      <alignment vertical="top"/>
      <protection locked="0"/>
    </xf>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1250">
    <xf numFmtId="0" fontId="0" fillId="0" borderId="0" xfId="0"/>
    <xf numFmtId="0" fontId="10" fillId="0" borderId="0" xfId="0" applyFont="1" applyAlignment="1" applyProtection="1">
      <alignment horizontal="center"/>
      <protection hidden="1"/>
    </xf>
    <xf numFmtId="0" fontId="11" fillId="0" borderId="0" xfId="0" applyFont="1" applyAlignment="1" applyProtection="1">
      <alignment horizontal="center"/>
      <protection hidden="1"/>
    </xf>
    <xf numFmtId="0" fontId="12" fillId="0" borderId="0" xfId="0" applyFont="1" applyAlignment="1" applyProtection="1">
      <alignment horizontal="center"/>
      <protection hidden="1"/>
    </xf>
    <xf numFmtId="0" fontId="13" fillId="0" borderId="0" xfId="0" applyFont="1" applyAlignment="1" applyProtection="1">
      <alignment horizontal="center"/>
      <protection hidden="1"/>
    </xf>
    <xf numFmtId="0" fontId="11" fillId="0" borderId="0" xfId="0" applyFont="1" applyBorder="1" applyAlignment="1" applyProtection="1">
      <alignment horizontal="center"/>
      <protection hidden="1"/>
    </xf>
    <xf numFmtId="0" fontId="12" fillId="0" borderId="0" xfId="0" applyFont="1" applyBorder="1" applyAlignment="1" applyProtection="1">
      <alignment horizontal="center"/>
      <protection hidden="1"/>
    </xf>
    <xf numFmtId="0" fontId="12" fillId="0" borderId="0" xfId="0" applyFont="1" applyBorder="1" applyAlignment="1" applyProtection="1">
      <alignment horizontal="left"/>
      <protection hidden="1"/>
    </xf>
    <xf numFmtId="167" fontId="12" fillId="0" borderId="0" xfId="0" applyNumberFormat="1" applyFont="1" applyBorder="1" applyAlignment="1" applyProtection="1">
      <alignment horizontal="center"/>
      <protection hidden="1"/>
    </xf>
    <xf numFmtId="14" fontId="17" fillId="0" borderId="0" xfId="0" applyNumberFormat="1" applyFont="1" applyBorder="1" applyAlignment="1" applyProtection="1">
      <alignment horizontal="center"/>
      <protection hidden="1"/>
    </xf>
    <xf numFmtId="49" fontId="18" fillId="0" borderId="0" xfId="0" applyNumberFormat="1" applyFont="1" applyAlignment="1" applyProtection="1">
      <alignment horizontal="center"/>
      <protection hidden="1"/>
    </xf>
    <xf numFmtId="1" fontId="12" fillId="0" borderId="0" xfId="0" applyNumberFormat="1" applyFont="1" applyBorder="1" applyAlignment="1" applyProtection="1">
      <alignment horizontal="center"/>
      <protection hidden="1"/>
    </xf>
    <xf numFmtId="0" fontId="19" fillId="0" borderId="0" xfId="0" applyFont="1" applyBorder="1" applyAlignment="1" applyProtection="1">
      <alignment horizontal="center"/>
      <protection hidden="1"/>
    </xf>
    <xf numFmtId="0" fontId="7" fillId="0" borderId="0" xfId="0" applyFont="1" applyBorder="1" applyAlignment="1" applyProtection="1">
      <alignment horizontal="center"/>
      <protection hidden="1"/>
    </xf>
    <xf numFmtId="49" fontId="7" fillId="0" borderId="0" xfId="0" applyNumberFormat="1" applyFont="1" applyBorder="1" applyAlignment="1" applyProtection="1">
      <alignment horizontal="center"/>
      <protection hidden="1"/>
    </xf>
    <xf numFmtId="0" fontId="10" fillId="2" borderId="0" xfId="0" applyFont="1" applyFill="1" applyAlignment="1" applyProtection="1">
      <alignment horizontal="center"/>
      <protection hidden="1"/>
    </xf>
    <xf numFmtId="15" fontId="10" fillId="0" borderId="0" xfId="0" applyNumberFormat="1" applyFont="1" applyAlignment="1" applyProtection="1">
      <alignment horizontal="center"/>
      <protection hidden="1"/>
    </xf>
    <xf numFmtId="0" fontId="22" fillId="0" borderId="0" xfId="0" applyFont="1" applyAlignment="1" applyProtection="1">
      <alignment horizontal="center"/>
      <protection hidden="1"/>
    </xf>
    <xf numFmtId="0" fontId="12" fillId="0" borderId="0" xfId="0" applyFont="1" applyBorder="1" applyProtection="1">
      <protection hidden="1"/>
    </xf>
    <xf numFmtId="0" fontId="23" fillId="0" borderId="0" xfId="0" applyFont="1" applyBorder="1" applyProtection="1">
      <protection hidden="1"/>
    </xf>
    <xf numFmtId="0" fontId="12" fillId="0" borderId="1" xfId="0" applyFont="1" applyFill="1" applyBorder="1" applyAlignment="1" applyProtection="1">
      <alignment horizontal="center"/>
      <protection hidden="1"/>
    </xf>
    <xf numFmtId="0" fontId="10" fillId="0" borderId="0" xfId="0" applyFont="1" applyAlignment="1" applyProtection="1">
      <alignment horizontal="left"/>
      <protection hidden="1"/>
    </xf>
    <xf numFmtId="0" fontId="25" fillId="0" borderId="0" xfId="0" applyFont="1" applyAlignment="1" applyProtection="1">
      <alignment horizontal="center"/>
      <protection hidden="1"/>
    </xf>
    <xf numFmtId="0" fontId="26" fillId="0" borderId="0" xfId="0" applyFont="1" applyBorder="1" applyAlignment="1" applyProtection="1">
      <alignment horizontal="center"/>
      <protection hidden="1"/>
    </xf>
    <xf numFmtId="0" fontId="25" fillId="0" borderId="0" xfId="0" applyFont="1" applyProtection="1">
      <protection hidden="1"/>
    </xf>
    <xf numFmtId="165" fontId="25" fillId="0" borderId="0" xfId="0" applyNumberFormat="1" applyFont="1" applyProtection="1">
      <protection hidden="1"/>
    </xf>
    <xf numFmtId="1" fontId="12" fillId="0" borderId="0" xfId="0" applyNumberFormat="1" applyFont="1" applyAlignment="1" applyProtection="1">
      <alignment horizontal="center"/>
      <protection hidden="1"/>
    </xf>
    <xf numFmtId="168" fontId="12" fillId="0" borderId="0" xfId="0" applyNumberFormat="1" applyFont="1" applyBorder="1" applyAlignment="1" applyProtection="1">
      <alignment horizontal="center"/>
      <protection hidden="1"/>
    </xf>
    <xf numFmtId="0" fontId="11" fillId="2" borderId="0" xfId="0" applyFont="1" applyFill="1" applyAlignment="1" applyProtection="1">
      <alignment horizontal="center"/>
      <protection hidden="1"/>
    </xf>
    <xf numFmtId="0" fontId="31" fillId="0" borderId="0" xfId="0" applyFont="1" applyFill="1" applyBorder="1" applyAlignment="1" applyProtection="1">
      <alignment horizontal="center"/>
      <protection hidden="1"/>
    </xf>
    <xf numFmtId="0" fontId="0" fillId="0" borderId="0" xfId="0" applyProtection="1">
      <protection hidden="1"/>
    </xf>
    <xf numFmtId="0" fontId="24" fillId="0" borderId="0" xfId="0" applyFont="1" applyProtection="1">
      <protection hidden="1"/>
    </xf>
    <xf numFmtId="0" fontId="24" fillId="0" borderId="0" xfId="0" applyFont="1" applyAlignment="1" applyProtection="1">
      <alignment horizontal="center"/>
      <protection hidden="1"/>
    </xf>
    <xf numFmtId="168" fontId="12" fillId="0" borderId="0" xfId="0" applyNumberFormat="1" applyFont="1" applyBorder="1" applyAlignment="1" applyProtection="1">
      <alignment horizontal="left"/>
      <protection hidden="1"/>
    </xf>
    <xf numFmtId="0" fontId="36" fillId="0" borderId="0" xfId="0" applyFont="1" applyProtection="1">
      <protection hidden="1"/>
    </xf>
    <xf numFmtId="0" fontId="5" fillId="10" borderId="0" xfId="0" applyFont="1" applyFill="1" applyProtection="1">
      <protection hidden="1"/>
    </xf>
    <xf numFmtId="49" fontId="12" fillId="0" borderId="0" xfId="0" applyNumberFormat="1" applyFont="1" applyBorder="1" applyAlignment="1" applyProtection="1">
      <alignment horizontal="center"/>
      <protection hidden="1"/>
    </xf>
    <xf numFmtId="14" fontId="12" fillId="0" borderId="0" xfId="0" applyNumberFormat="1" applyFont="1" applyBorder="1" applyAlignment="1" applyProtection="1">
      <alignment horizontal="center"/>
      <protection hidden="1"/>
    </xf>
    <xf numFmtId="0" fontId="0" fillId="0" borderId="0" xfId="0" applyAlignment="1"/>
    <xf numFmtId="0" fontId="0" fillId="0" borderId="0" xfId="0" applyAlignment="1">
      <alignment horizontal="center"/>
    </xf>
    <xf numFmtId="3" fontId="12" fillId="0" borderId="0" xfId="0" applyNumberFormat="1" applyFont="1" applyBorder="1" applyAlignment="1" applyProtection="1">
      <alignment horizontal="center"/>
      <protection hidden="1"/>
    </xf>
    <xf numFmtId="3" fontId="12" fillId="0" borderId="0" xfId="0" applyNumberFormat="1" applyFont="1" applyAlignment="1" applyProtection="1">
      <alignment horizontal="center"/>
      <protection hidden="1"/>
    </xf>
    <xf numFmtId="0" fontId="11" fillId="0" borderId="0" xfId="0" applyFont="1" applyBorder="1" applyAlignment="1" applyProtection="1">
      <alignment horizontal="left"/>
      <protection hidden="1"/>
    </xf>
    <xf numFmtId="0" fontId="38" fillId="4" borderId="0" xfId="0" applyFont="1" applyFill="1" applyProtection="1">
      <protection hidden="1"/>
    </xf>
    <xf numFmtId="0" fontId="0" fillId="0" borderId="0" xfId="0" applyAlignment="1" applyProtection="1">
      <alignment horizontal="center"/>
      <protection hidden="1"/>
    </xf>
    <xf numFmtId="0" fontId="0" fillId="0" borderId="0" xfId="0" applyAlignment="1" applyProtection="1">
      <protection hidden="1"/>
    </xf>
    <xf numFmtId="165" fontId="8" fillId="3" borderId="13" xfId="1" applyNumberFormat="1" applyFont="1" applyFill="1" applyBorder="1" applyAlignment="1" applyProtection="1">
      <alignment horizontal="center"/>
      <protection hidden="1"/>
    </xf>
    <xf numFmtId="0" fontId="5" fillId="0" borderId="0" xfId="0" applyFont="1" applyProtection="1">
      <protection hidden="1"/>
    </xf>
    <xf numFmtId="0" fontId="0" fillId="0" borderId="14" xfId="0" applyBorder="1" applyAlignment="1" applyProtection="1">
      <alignment wrapText="1"/>
      <protection hidden="1"/>
    </xf>
    <xf numFmtId="0" fontId="0" fillId="0" borderId="14" xfId="0" applyBorder="1" applyAlignment="1" applyProtection="1">
      <alignment horizontal="center" wrapText="1"/>
      <protection hidden="1"/>
    </xf>
    <xf numFmtId="0" fontId="0" fillId="0" borderId="15" xfId="0" applyFill="1" applyBorder="1" applyAlignment="1" applyProtection="1">
      <alignment wrapText="1"/>
      <protection hidden="1"/>
    </xf>
    <xf numFmtId="0" fontId="0" fillId="0" borderId="14" xfId="0" applyBorder="1" applyAlignment="1" applyProtection="1">
      <alignment horizontal="left" wrapText="1"/>
      <protection hidden="1"/>
    </xf>
    <xf numFmtId="164" fontId="0" fillId="0" borderId="14" xfId="0" applyNumberFormat="1" applyBorder="1" applyAlignment="1" applyProtection="1">
      <alignment horizontal="center" wrapText="1"/>
      <protection hidden="1"/>
    </xf>
    <xf numFmtId="1" fontId="5" fillId="7" borderId="14" xfId="0" applyNumberFormat="1" applyFont="1" applyFill="1" applyBorder="1" applyAlignment="1" applyProtection="1">
      <alignment horizontal="center" wrapText="1"/>
      <protection hidden="1"/>
    </xf>
    <xf numFmtId="164" fontId="0" fillId="0" borderId="14" xfId="0" applyNumberFormat="1" applyBorder="1" applyAlignment="1" applyProtection="1">
      <alignment wrapText="1"/>
      <protection hidden="1"/>
    </xf>
    <xf numFmtId="0" fontId="5" fillId="7" borderId="14" xfId="0" applyFont="1" applyFill="1" applyBorder="1" applyAlignment="1" applyProtection="1">
      <alignment horizontal="center" wrapText="1"/>
      <protection hidden="1"/>
    </xf>
    <xf numFmtId="0" fontId="5" fillId="15" borderId="14" xfId="0" applyFont="1" applyFill="1" applyBorder="1" applyAlignment="1" applyProtection="1">
      <alignment horizontal="center" wrapText="1"/>
      <protection hidden="1"/>
    </xf>
    <xf numFmtId="1" fontId="5" fillId="5" borderId="14" xfId="0" applyNumberFormat="1" applyFont="1" applyFill="1" applyBorder="1" applyAlignment="1" applyProtection="1">
      <alignment horizontal="center" wrapText="1"/>
      <protection hidden="1"/>
    </xf>
    <xf numFmtId="0" fontId="5" fillId="5" borderId="14" xfId="0" applyFont="1" applyFill="1" applyBorder="1" applyAlignment="1" applyProtection="1">
      <alignment horizontal="center" wrapText="1"/>
      <protection hidden="1"/>
    </xf>
    <xf numFmtId="0" fontId="5" fillId="12" borderId="14" xfId="0" applyFont="1" applyFill="1" applyBorder="1" applyAlignment="1" applyProtection="1">
      <alignment horizontal="center" wrapText="1"/>
      <protection hidden="1"/>
    </xf>
    <xf numFmtId="1" fontId="5" fillId="13" borderId="14" xfId="0" applyNumberFormat="1" applyFont="1" applyFill="1" applyBorder="1" applyAlignment="1" applyProtection="1">
      <alignment horizontal="center" wrapText="1"/>
      <protection hidden="1"/>
    </xf>
    <xf numFmtId="0" fontId="5" fillId="13" borderId="14" xfId="0" applyFont="1" applyFill="1" applyBorder="1" applyAlignment="1" applyProtection="1">
      <alignment horizontal="center" wrapText="1"/>
      <protection hidden="1"/>
    </xf>
    <xf numFmtId="0" fontId="5" fillId="18" borderId="14" xfId="0" applyFont="1" applyFill="1" applyBorder="1" applyAlignment="1" applyProtection="1">
      <alignment horizontal="center" wrapText="1"/>
      <protection hidden="1"/>
    </xf>
    <xf numFmtId="1" fontId="0" fillId="0" borderId="14" xfId="0" applyNumberFormat="1" applyBorder="1" applyAlignment="1" applyProtection="1">
      <alignment wrapText="1"/>
      <protection hidden="1"/>
    </xf>
    <xf numFmtId="0" fontId="0" fillId="0" borderId="0" xfId="0" applyFill="1" applyBorder="1" applyAlignment="1" applyProtection="1">
      <alignment wrapText="1"/>
      <protection hidden="1"/>
    </xf>
    <xf numFmtId="0" fontId="5" fillId="19" borderId="14" xfId="0" applyFont="1" applyFill="1" applyBorder="1" applyAlignment="1" applyProtection="1">
      <alignment horizontal="center" wrapText="1"/>
      <protection hidden="1"/>
    </xf>
    <xf numFmtId="1" fontId="5" fillId="20" borderId="14" xfId="0" applyNumberFormat="1" applyFont="1" applyFill="1" applyBorder="1" applyAlignment="1" applyProtection="1">
      <alignment horizontal="center" wrapText="1"/>
      <protection hidden="1"/>
    </xf>
    <xf numFmtId="0" fontId="5" fillId="20" borderId="14" xfId="0" applyFont="1" applyFill="1" applyBorder="1" applyAlignment="1" applyProtection="1">
      <alignment horizontal="center" wrapText="1"/>
      <protection hidden="1"/>
    </xf>
    <xf numFmtId="0" fontId="5" fillId="8" borderId="14" xfId="0" applyFont="1" applyFill="1" applyBorder="1" applyAlignment="1" applyProtection="1">
      <alignment horizontal="center" wrapText="1"/>
      <protection hidden="1"/>
    </xf>
    <xf numFmtId="1" fontId="5" fillId="21" borderId="14" xfId="0" applyNumberFormat="1" applyFont="1" applyFill="1" applyBorder="1" applyAlignment="1" applyProtection="1">
      <alignment horizontal="center" wrapText="1"/>
      <protection hidden="1"/>
    </xf>
    <xf numFmtId="0" fontId="5" fillId="21" borderId="14" xfId="0" applyFont="1" applyFill="1" applyBorder="1" applyAlignment="1" applyProtection="1">
      <alignment horizontal="center" wrapText="1"/>
      <protection hidden="1"/>
    </xf>
    <xf numFmtId="1" fontId="5" fillId="22" borderId="14" xfId="0" applyNumberFormat="1" applyFont="1" applyFill="1" applyBorder="1" applyAlignment="1" applyProtection="1">
      <alignment horizontal="center" wrapText="1"/>
      <protection hidden="1"/>
    </xf>
    <xf numFmtId="0" fontId="5" fillId="22" borderId="14" xfId="0" applyFont="1" applyFill="1" applyBorder="1" applyAlignment="1" applyProtection="1">
      <alignment horizontal="center" wrapText="1"/>
      <protection hidden="1"/>
    </xf>
    <xf numFmtId="0" fontId="5" fillId="23" borderId="14" xfId="0" applyFont="1" applyFill="1" applyBorder="1" applyAlignment="1" applyProtection="1">
      <alignment horizontal="center" wrapText="1"/>
      <protection hidden="1"/>
    </xf>
    <xf numFmtId="0" fontId="5" fillId="24" borderId="14" xfId="0" applyFont="1" applyFill="1" applyBorder="1" applyAlignment="1" applyProtection="1">
      <alignment horizontal="center" wrapText="1"/>
      <protection hidden="1"/>
    </xf>
    <xf numFmtId="1" fontId="5" fillId="24" borderId="14" xfId="0" applyNumberFormat="1" applyFont="1" applyFill="1" applyBorder="1" applyAlignment="1" applyProtection="1">
      <alignment horizontal="center" wrapText="1"/>
      <protection hidden="1"/>
    </xf>
    <xf numFmtId="0" fontId="8" fillId="4" borderId="16" xfId="0" applyFont="1" applyFill="1" applyBorder="1" applyProtection="1">
      <protection hidden="1"/>
    </xf>
    <xf numFmtId="0" fontId="8" fillId="4" borderId="17" xfId="0" applyFont="1" applyFill="1" applyBorder="1" applyProtection="1">
      <protection hidden="1"/>
    </xf>
    <xf numFmtId="0" fontId="0" fillId="0" borderId="14" xfId="0" applyBorder="1" applyAlignment="1" applyProtection="1">
      <alignment horizontal="right"/>
      <protection hidden="1"/>
    </xf>
    <xf numFmtId="1" fontId="5" fillId="25" borderId="14" xfId="0" applyNumberFormat="1" applyFont="1" applyFill="1" applyBorder="1" applyAlignment="1" applyProtection="1">
      <alignment horizontal="center"/>
      <protection hidden="1"/>
    </xf>
    <xf numFmtId="0" fontId="5" fillId="25" borderId="14" xfId="0" applyFont="1" applyFill="1" applyBorder="1" applyAlignment="1" applyProtection="1">
      <alignment horizontal="center"/>
      <protection hidden="1"/>
    </xf>
    <xf numFmtId="0" fontId="40" fillId="0" borderId="0" xfId="0" applyFont="1" applyAlignment="1" applyProtection="1">
      <alignment horizontal="center"/>
      <protection hidden="1"/>
    </xf>
    <xf numFmtId="0" fontId="41" fillId="0" borderId="0" xfId="0" applyFont="1" applyAlignment="1" applyProtection="1">
      <alignment wrapText="1"/>
      <protection hidden="1"/>
    </xf>
    <xf numFmtId="0" fontId="32" fillId="0" borderId="0" xfId="0" applyFont="1" applyAlignment="1" applyProtection="1">
      <alignment wrapText="1"/>
      <protection hidden="1"/>
    </xf>
    <xf numFmtId="165" fontId="0" fillId="0" borderId="0" xfId="0" applyNumberFormat="1" applyAlignment="1" applyProtection="1">
      <alignment horizontal="center"/>
      <protection hidden="1"/>
    </xf>
    <xf numFmtId="0" fontId="34" fillId="0" borderId="18" xfId="0" applyFont="1" applyFill="1" applyBorder="1" applyAlignment="1" applyProtection="1">
      <alignment wrapText="1"/>
      <protection hidden="1"/>
    </xf>
    <xf numFmtId="0" fontId="34" fillId="0" borderId="11" xfId="0" applyFont="1" applyBorder="1" applyProtection="1">
      <protection hidden="1"/>
    </xf>
    <xf numFmtId="0" fontId="0" fillId="0" borderId="12" xfId="0" applyBorder="1" applyProtection="1">
      <protection hidden="1"/>
    </xf>
    <xf numFmtId="0" fontId="5" fillId="0" borderId="0" xfId="0" applyFont="1" applyAlignment="1" applyProtection="1">
      <alignment wrapText="1"/>
      <protection hidden="1"/>
    </xf>
    <xf numFmtId="0" fontId="40" fillId="0" borderId="0" xfId="0" applyFont="1" applyProtection="1">
      <protection hidden="1"/>
    </xf>
    <xf numFmtId="0" fontId="32" fillId="2" borderId="0" xfId="0" applyFont="1" applyFill="1" applyBorder="1" applyAlignment="1" applyProtection="1">
      <alignment horizontal="left" wrapText="1" indent="2"/>
      <protection hidden="1"/>
    </xf>
    <xf numFmtId="0" fontId="29" fillId="14" borderId="0" xfId="0" applyFont="1" applyFill="1" applyProtection="1">
      <protection hidden="1"/>
    </xf>
    <xf numFmtId="1" fontId="0" fillId="0" borderId="0" xfId="0" applyNumberFormat="1" applyAlignment="1">
      <alignment horizontal="center"/>
    </xf>
    <xf numFmtId="167" fontId="44" fillId="0" borderId="0" xfId="0" applyNumberFormat="1" applyFont="1" applyBorder="1" applyAlignment="1" applyProtection="1">
      <alignment horizontal="center"/>
      <protection hidden="1"/>
    </xf>
    <xf numFmtId="16" fontId="0" fillId="0" borderId="0" xfId="0" applyNumberFormat="1" applyAlignment="1" applyProtection="1">
      <protection hidden="1"/>
    </xf>
    <xf numFmtId="16" fontId="0" fillId="0" borderId="0" xfId="0" applyNumberFormat="1" applyAlignment="1" applyProtection="1">
      <alignment horizontal="center"/>
      <protection hidden="1"/>
    </xf>
    <xf numFmtId="16" fontId="5" fillId="26" borderId="0" xfId="0" applyNumberFormat="1" applyFont="1" applyFill="1" applyBorder="1" applyAlignment="1">
      <alignment horizontal="center"/>
    </xf>
    <xf numFmtId="0" fontId="45" fillId="0" borderId="0" xfId="0" applyFont="1"/>
    <xf numFmtId="0" fontId="46" fillId="0" borderId="0" xfId="0" applyFont="1"/>
    <xf numFmtId="0" fontId="5" fillId="0" borderId="0" xfId="0" applyFont="1" applyAlignment="1">
      <alignment horizontal="center"/>
    </xf>
    <xf numFmtId="0" fontId="7" fillId="0" borderId="0" xfId="0" applyFont="1"/>
    <xf numFmtId="16" fontId="0" fillId="0" borderId="0" xfId="0" applyNumberFormat="1"/>
    <xf numFmtId="0" fontId="40" fillId="0" borderId="0" xfId="0" applyFont="1"/>
    <xf numFmtId="0" fontId="5" fillId="0" borderId="0" xfId="0" applyFont="1"/>
    <xf numFmtId="0" fontId="40" fillId="0" borderId="0" xfId="0" applyFont="1" applyAlignment="1">
      <alignment horizontal="left"/>
    </xf>
    <xf numFmtId="49" fontId="0" fillId="0" borderId="0" xfId="0" applyNumberFormat="1" applyAlignment="1">
      <alignment horizontal="center"/>
    </xf>
    <xf numFmtId="1" fontId="0" fillId="0" borderId="0" xfId="0" applyNumberFormat="1"/>
    <xf numFmtId="14" fontId="0" fillId="0" borderId="0" xfId="0" applyNumberFormat="1"/>
    <xf numFmtId="49" fontId="5" fillId="3" borderId="0" xfId="0" applyNumberFormat="1" applyFont="1" applyFill="1" applyAlignment="1">
      <alignment horizontal="center"/>
    </xf>
    <xf numFmtId="0" fontId="5" fillId="2" borderId="18" xfId="0" applyFont="1" applyFill="1" applyBorder="1" applyProtection="1">
      <protection hidden="1"/>
    </xf>
    <xf numFmtId="0" fontId="5" fillId="27" borderId="20" xfId="0" applyFont="1" applyFill="1" applyBorder="1" applyAlignment="1" applyProtection="1">
      <alignment horizontal="center"/>
      <protection hidden="1"/>
    </xf>
    <xf numFmtId="0" fontId="5" fillId="10" borderId="20" xfId="0" applyFont="1" applyFill="1" applyBorder="1" applyProtection="1">
      <protection hidden="1"/>
    </xf>
    <xf numFmtId="0" fontId="0" fillId="15" borderId="0" xfId="0" applyFill="1"/>
    <xf numFmtId="0" fontId="5" fillId="15" borderId="0" xfId="0" applyFont="1" applyFill="1" applyProtection="1">
      <protection hidden="1"/>
    </xf>
    <xf numFmtId="0" fontId="5" fillId="11" borderId="25" xfId="0" applyFont="1" applyFill="1" applyBorder="1" applyAlignment="1" applyProtection="1">
      <alignment horizontal="center"/>
      <protection hidden="1"/>
    </xf>
    <xf numFmtId="49" fontId="5" fillId="15" borderId="0" xfId="0" applyNumberFormat="1" applyFont="1" applyFill="1" applyProtection="1">
      <protection hidden="1"/>
    </xf>
    <xf numFmtId="0" fontId="44" fillId="0" borderId="0" xfId="0" applyFont="1" applyAlignment="1" applyProtection="1">
      <alignment horizontal="center"/>
      <protection hidden="1"/>
    </xf>
    <xf numFmtId="168" fontId="24" fillId="0" borderId="0" xfId="0" applyNumberFormat="1" applyFont="1" applyAlignment="1" applyProtection="1">
      <alignment horizontal="center"/>
      <protection hidden="1"/>
    </xf>
    <xf numFmtId="0" fontId="0" fillId="0" borderId="0" xfId="0" applyBorder="1" applyAlignment="1"/>
    <xf numFmtId="0" fontId="20" fillId="5" borderId="9" xfId="0" applyFont="1" applyFill="1" applyBorder="1" applyAlignment="1">
      <alignment horizontal="center"/>
    </xf>
    <xf numFmtId="0" fontId="20" fillId="5" borderId="4" xfId="0" applyFont="1" applyFill="1" applyBorder="1" applyAlignment="1">
      <alignment horizontal="center"/>
    </xf>
    <xf numFmtId="0" fontId="20" fillId="5" borderId="5" xfId="0" applyFont="1" applyFill="1" applyBorder="1" applyAlignment="1">
      <alignment horizontal="center"/>
    </xf>
    <xf numFmtId="0" fontId="24" fillId="0" borderId="9" xfId="0" applyFont="1" applyBorder="1" applyAlignment="1">
      <alignment horizontal="center"/>
    </xf>
    <xf numFmtId="0" fontId="24" fillId="0" borderId="4" xfId="0" applyFont="1" applyBorder="1" applyAlignment="1">
      <alignment horizontal="center"/>
    </xf>
    <xf numFmtId="0" fontId="24" fillId="0" borderId="26" xfId="0" applyFont="1" applyBorder="1" applyAlignment="1">
      <alignment horizontal="center"/>
    </xf>
    <xf numFmtId="0" fontId="24" fillId="0" borderId="0" xfId="0" applyFont="1" applyBorder="1" applyAlignment="1">
      <alignment horizontal="center"/>
    </xf>
    <xf numFmtId="0" fontId="24" fillId="0" borderId="6" xfId="0" applyFont="1" applyBorder="1" applyAlignment="1">
      <alignment horizontal="center"/>
    </xf>
    <xf numFmtId="0" fontId="24" fillId="0" borderId="8" xfId="0" applyFont="1" applyBorder="1" applyAlignment="1">
      <alignment horizontal="center"/>
    </xf>
    <xf numFmtId="0" fontId="21" fillId="0" borderId="9" xfId="0" applyFont="1" applyBorder="1" applyAlignment="1">
      <alignment horizontal="center"/>
    </xf>
    <xf numFmtId="0" fontId="21" fillId="0" borderId="4" xfId="0" applyFont="1" applyBorder="1" applyAlignment="1">
      <alignment horizontal="center"/>
    </xf>
    <xf numFmtId="0" fontId="21" fillId="0" borderId="26" xfId="0" applyFont="1" applyBorder="1" applyAlignment="1">
      <alignment horizontal="center"/>
    </xf>
    <xf numFmtId="0" fontId="21" fillId="0" borderId="0" xfId="0" applyFont="1" applyBorder="1" applyAlignment="1">
      <alignment horizontal="center"/>
    </xf>
    <xf numFmtId="0" fontId="12" fillId="0" borderId="5" xfId="0" applyFont="1" applyBorder="1" applyAlignment="1">
      <alignment horizontal="center"/>
    </xf>
    <xf numFmtId="0" fontId="12" fillId="0" borderId="23" xfId="0" applyFont="1" applyBorder="1" applyAlignment="1">
      <alignment horizontal="center"/>
    </xf>
    <xf numFmtId="0" fontId="12" fillId="0" borderId="7" xfId="0" applyFont="1" applyBorder="1" applyAlignment="1">
      <alignment horizontal="center"/>
    </xf>
    <xf numFmtId="0" fontId="0" fillId="0" borderId="9" xfId="0" applyBorder="1"/>
    <xf numFmtId="49" fontId="0" fillId="0" borderId="0" xfId="0" applyNumberFormat="1"/>
    <xf numFmtId="0" fontId="26" fillId="0" borderId="7" xfId="0" applyFont="1" applyBorder="1" applyAlignment="1">
      <alignment horizontal="center"/>
    </xf>
    <xf numFmtId="0" fontId="0" fillId="2" borderId="0" xfId="0" applyFill="1"/>
    <xf numFmtId="0" fontId="0" fillId="0" borderId="4" xfId="0" applyBorder="1" applyAlignment="1"/>
    <xf numFmtId="0" fontId="0" fillId="0" borderId="26" xfId="0" applyBorder="1" applyAlignment="1"/>
    <xf numFmtId="0" fontId="0" fillId="0" borderId="6" xfId="0" applyBorder="1" applyAlignment="1"/>
    <xf numFmtId="0" fontId="0" fillId="0" borderId="8" xfId="0" applyBorder="1" applyAlignment="1"/>
    <xf numFmtId="0" fontId="0" fillId="5" borderId="5" xfId="0" applyFill="1" applyBorder="1" applyAlignment="1"/>
    <xf numFmtId="0" fontId="0" fillId="5" borderId="23" xfId="0" applyFill="1" applyBorder="1" applyAlignment="1"/>
    <xf numFmtId="0" fontId="0" fillId="5" borderId="7" xfId="0" applyFill="1" applyBorder="1" applyAlignment="1"/>
    <xf numFmtId="0" fontId="21" fillId="0" borderId="23" xfId="0" applyFont="1" applyBorder="1" applyAlignment="1">
      <alignment horizontal="center"/>
    </xf>
    <xf numFmtId="0" fontId="21" fillId="0" borderId="8" xfId="0" applyFont="1" applyBorder="1" applyAlignment="1">
      <alignment horizontal="center"/>
    </xf>
    <xf numFmtId="0" fontId="21" fillId="0" borderId="7" xfId="0" applyFont="1" applyBorder="1" applyAlignment="1">
      <alignment horizontal="center"/>
    </xf>
    <xf numFmtId="171" fontId="0" fillId="0" borderId="0" xfId="0" applyNumberFormat="1"/>
    <xf numFmtId="0" fontId="41" fillId="0" borderId="0" xfId="0" applyFont="1" applyAlignment="1" applyProtection="1">
      <alignment horizontal="center" wrapText="1"/>
      <protection hidden="1"/>
    </xf>
    <xf numFmtId="1" fontId="5" fillId="0" borderId="0" xfId="0" applyNumberFormat="1" applyFont="1" applyAlignment="1" applyProtection="1">
      <alignment horizontal="center"/>
      <protection hidden="1"/>
    </xf>
    <xf numFmtId="0" fontId="42" fillId="16" borderId="9" xfId="0" applyFont="1" applyFill="1" applyBorder="1" applyProtection="1">
      <protection hidden="1"/>
    </xf>
    <xf numFmtId="0" fontId="42" fillId="16" borderId="4" xfId="0" applyFont="1" applyFill="1" applyBorder="1" applyProtection="1">
      <protection hidden="1"/>
    </xf>
    <xf numFmtId="0" fontId="42" fillId="16" borderId="5" xfId="0" applyFont="1" applyFill="1" applyBorder="1" applyProtection="1">
      <protection hidden="1"/>
    </xf>
    <xf numFmtId="0" fontId="64" fillId="16" borderId="26" xfId="0" applyFont="1" applyFill="1" applyBorder="1" applyProtection="1">
      <protection hidden="1"/>
    </xf>
    <xf numFmtId="0" fontId="42" fillId="16" borderId="0" xfId="0" applyFont="1" applyFill="1" applyBorder="1" applyProtection="1">
      <protection hidden="1"/>
    </xf>
    <xf numFmtId="0" fontId="42" fillId="16" borderId="6" xfId="0" applyFont="1" applyFill="1" applyBorder="1" applyProtection="1">
      <protection hidden="1"/>
    </xf>
    <xf numFmtId="0" fontId="42" fillId="16" borderId="8" xfId="0" applyFont="1" applyFill="1" applyBorder="1" applyProtection="1">
      <protection hidden="1"/>
    </xf>
    <xf numFmtId="0" fontId="64" fillId="16" borderId="8" xfId="0" applyFont="1" applyFill="1" applyBorder="1" applyProtection="1">
      <protection hidden="1"/>
    </xf>
    <xf numFmtId="0" fontId="42" fillId="16" borderId="7" xfId="0" applyFont="1" applyFill="1" applyBorder="1" applyProtection="1">
      <protection hidden="1"/>
    </xf>
    <xf numFmtId="1" fontId="0" fillId="7" borderId="0" xfId="0" applyNumberFormat="1" applyFill="1" applyProtection="1">
      <protection hidden="1"/>
    </xf>
    <xf numFmtId="0" fontId="14" fillId="0" borderId="0" xfId="0" applyFont="1" applyBorder="1" applyAlignment="1" applyProtection="1">
      <alignment horizontal="center"/>
      <protection hidden="1"/>
    </xf>
    <xf numFmtId="0" fontId="0" fillId="0" borderId="28" xfId="0" applyBorder="1"/>
    <xf numFmtId="0" fontId="0" fillId="0" borderId="29" xfId="0" applyBorder="1"/>
    <xf numFmtId="0" fontId="0" fillId="0" borderId="0" xfId="0" applyBorder="1"/>
    <xf numFmtId="0" fontId="0" fillId="0" borderId="31" xfId="0" applyBorder="1"/>
    <xf numFmtId="0" fontId="0" fillId="0" borderId="32" xfId="0" applyBorder="1"/>
    <xf numFmtId="0" fontId="0" fillId="0" borderId="33" xfId="0" applyBorder="1"/>
    <xf numFmtId="0" fontId="0" fillId="0" borderId="34" xfId="0" applyBorder="1"/>
    <xf numFmtId="0" fontId="24" fillId="0" borderId="28" xfId="0" applyFont="1" applyBorder="1"/>
    <xf numFmtId="0" fontId="24" fillId="0" borderId="0" xfId="0" applyFont="1" applyBorder="1"/>
    <xf numFmtId="0" fontId="20" fillId="4" borderId="19" xfId="0" applyFont="1" applyFill="1" applyBorder="1" applyAlignment="1">
      <alignment horizontal="center"/>
    </xf>
    <xf numFmtId="0" fontId="10" fillId="0" borderId="0" xfId="0" applyFont="1" applyBorder="1"/>
    <xf numFmtId="0" fontId="10" fillId="0" borderId="28" xfId="0" applyFont="1" applyBorder="1"/>
    <xf numFmtId="0" fontId="24" fillId="0" borderId="0" xfId="0" applyFont="1"/>
    <xf numFmtId="168" fontId="0" fillId="0" borderId="0" xfId="0" applyNumberFormat="1"/>
    <xf numFmtId="0" fontId="0" fillId="0" borderId="30" xfId="0" applyBorder="1" applyAlignment="1"/>
    <xf numFmtId="0" fontId="0" fillId="0" borderId="31" xfId="0" applyBorder="1" applyAlignment="1"/>
    <xf numFmtId="0" fontId="51" fillId="0" borderId="32" xfId="0" applyFont="1" applyBorder="1" applyAlignment="1">
      <alignment horizontal="center"/>
    </xf>
    <xf numFmtId="0" fontId="51" fillId="0" borderId="33" xfId="0" applyFont="1" applyBorder="1" applyAlignment="1">
      <alignment horizontal="center"/>
    </xf>
    <xf numFmtId="0" fontId="51" fillId="0" borderId="34" xfId="0" applyFont="1" applyBorder="1" applyAlignment="1">
      <alignment horizontal="center"/>
    </xf>
    <xf numFmtId="0" fontId="50" fillId="0" borderId="33" xfId="0" applyFont="1" applyBorder="1" applyAlignment="1">
      <alignment horizontal="center" vertical="center"/>
    </xf>
    <xf numFmtId="0" fontId="50" fillId="2" borderId="33" xfId="0" applyFont="1" applyFill="1" applyBorder="1" applyAlignment="1">
      <alignment horizontal="center" vertical="center"/>
    </xf>
    <xf numFmtId="0" fontId="68" fillId="28" borderId="36" xfId="0" applyFont="1" applyFill="1" applyBorder="1" applyAlignment="1" applyProtection="1">
      <alignment horizontal="center"/>
      <protection hidden="1"/>
    </xf>
    <xf numFmtId="0" fontId="11" fillId="29" borderId="13" xfId="0" applyFont="1" applyFill="1" applyBorder="1" applyAlignment="1" applyProtection="1">
      <alignment horizontal="center"/>
      <protection hidden="1"/>
    </xf>
    <xf numFmtId="0" fontId="24" fillId="0" borderId="0" xfId="0" applyFont="1" applyAlignment="1">
      <alignment horizontal="center"/>
    </xf>
    <xf numFmtId="0" fontId="68" fillId="4" borderId="13" xfId="0" applyFont="1" applyFill="1" applyBorder="1" applyAlignment="1" applyProtection="1">
      <alignment horizontal="center"/>
      <protection hidden="1"/>
    </xf>
    <xf numFmtId="0" fontId="24" fillId="0" borderId="30" xfId="0" applyFont="1" applyBorder="1"/>
    <xf numFmtId="1" fontId="69" fillId="16" borderId="0" xfId="0" applyNumberFormat="1" applyFont="1" applyFill="1" applyBorder="1" applyAlignment="1">
      <alignment horizontal="right" vertical="center"/>
    </xf>
    <xf numFmtId="0" fontId="69" fillId="16" borderId="0" xfId="0" applyFont="1" applyFill="1" applyBorder="1" applyAlignment="1">
      <alignment horizontal="right" vertical="center"/>
    </xf>
    <xf numFmtId="0" fontId="69" fillId="16" borderId="33" xfId="0" applyFont="1" applyFill="1" applyBorder="1" applyAlignment="1">
      <alignment horizontal="right" vertical="center"/>
    </xf>
    <xf numFmtId="0" fontId="13" fillId="16" borderId="31" xfId="0" applyFont="1" applyFill="1" applyBorder="1" applyAlignment="1">
      <alignment horizontal="right" vertical="center"/>
    </xf>
    <xf numFmtId="1" fontId="13" fillId="16" borderId="0" xfId="0" applyNumberFormat="1" applyFont="1" applyFill="1" applyBorder="1" applyAlignment="1">
      <alignment horizontal="right" vertical="center"/>
    </xf>
    <xf numFmtId="0" fontId="13" fillId="16" borderId="0" xfId="0" applyFont="1" applyFill="1" applyBorder="1" applyAlignment="1">
      <alignment horizontal="right" vertical="center"/>
    </xf>
    <xf numFmtId="0" fontId="13" fillId="16" borderId="33" xfId="0" applyFont="1" applyFill="1" applyBorder="1" applyAlignment="1">
      <alignment horizontal="right" vertical="center"/>
    </xf>
    <xf numFmtId="1" fontId="68" fillId="4" borderId="19" xfId="0" applyNumberFormat="1" applyFont="1" applyFill="1" applyBorder="1" applyAlignment="1">
      <alignment horizontal="center"/>
    </xf>
    <xf numFmtId="1" fontId="63" fillId="16" borderId="0" xfId="0" applyNumberFormat="1" applyFont="1" applyFill="1" applyBorder="1" applyAlignment="1">
      <alignment horizontal="center" vertical="center"/>
    </xf>
    <xf numFmtId="0" fontId="63" fillId="16" borderId="0" xfId="0" applyFont="1" applyFill="1" applyBorder="1" applyAlignment="1">
      <alignment horizontal="center" vertical="center"/>
    </xf>
    <xf numFmtId="0" fontId="13" fillId="16" borderId="31" xfId="0" applyFont="1" applyFill="1" applyBorder="1" applyAlignment="1">
      <alignment horizontal="center" vertical="center"/>
    </xf>
    <xf numFmtId="0" fontId="69" fillId="16" borderId="33" xfId="0" applyFont="1" applyFill="1" applyBorder="1" applyAlignment="1">
      <alignment horizontal="center" vertical="center"/>
    </xf>
    <xf numFmtId="0" fontId="37" fillId="11" borderId="0" xfId="0" applyFont="1" applyFill="1" applyProtection="1">
      <protection hidden="1"/>
    </xf>
    <xf numFmtId="0" fontId="0" fillId="0" borderId="4" xfId="0" applyBorder="1"/>
    <xf numFmtId="0" fontId="75" fillId="37" borderId="19" xfId="0" applyFont="1" applyFill="1" applyBorder="1" applyAlignment="1">
      <alignment horizontal="center"/>
    </xf>
    <xf numFmtId="0" fontId="21" fillId="0" borderId="28" xfId="0" applyFont="1" applyBorder="1"/>
    <xf numFmtId="0" fontId="73" fillId="39" borderId="9" xfId="0" applyFont="1" applyFill="1" applyBorder="1" applyAlignment="1">
      <alignment horizontal="center"/>
    </xf>
    <xf numFmtId="0" fontId="12" fillId="0" borderId="0" xfId="0" applyFont="1" applyBorder="1" applyAlignment="1" applyProtection="1">
      <alignment horizontal="center"/>
      <protection hidden="1"/>
    </xf>
    <xf numFmtId="168" fontId="12" fillId="0" borderId="0" xfId="0" applyNumberFormat="1" applyFont="1" applyBorder="1" applyAlignment="1" applyProtection="1">
      <alignment horizontal="center"/>
      <protection hidden="1"/>
    </xf>
    <xf numFmtId="0" fontId="13" fillId="0" borderId="0" xfId="0" applyFont="1" applyAlignment="1" applyProtection="1">
      <alignment horizontal="center"/>
      <protection hidden="1"/>
    </xf>
    <xf numFmtId="0" fontId="10" fillId="0" borderId="0" xfId="0" applyFont="1" applyAlignment="1" applyProtection="1">
      <alignment horizontal="center"/>
      <protection hidden="1"/>
    </xf>
    <xf numFmtId="0" fontId="12" fillId="0" borderId="0" xfId="0" applyFont="1" applyAlignment="1" applyProtection="1">
      <alignment horizontal="left"/>
      <protection hidden="1"/>
    </xf>
    <xf numFmtId="1" fontId="12" fillId="0" borderId="0" xfId="0" applyNumberFormat="1" applyFont="1" applyAlignment="1" applyProtection="1">
      <alignment horizontal="center"/>
      <protection hidden="1"/>
    </xf>
    <xf numFmtId="0" fontId="5" fillId="0" borderId="0" xfId="0" applyFont="1" applyAlignment="1">
      <alignment horizontal="center"/>
    </xf>
    <xf numFmtId="0" fontId="36" fillId="0" borderId="0" xfId="0" applyFont="1"/>
    <xf numFmtId="168" fontId="36" fillId="0" borderId="0" xfId="0" applyNumberFormat="1" applyFont="1"/>
    <xf numFmtId="0" fontId="21" fillId="0" borderId="0" xfId="0" applyFont="1"/>
    <xf numFmtId="0" fontId="21" fillId="0" borderId="0" xfId="0" applyFont="1" applyFill="1" applyBorder="1" applyAlignment="1">
      <alignment horizontal="center"/>
    </xf>
    <xf numFmtId="0" fontId="12" fillId="0" borderId="0" xfId="0" applyFont="1" applyBorder="1" applyAlignment="1" applyProtection="1">
      <alignment horizontal="center"/>
      <protection hidden="1"/>
    </xf>
    <xf numFmtId="168" fontId="12" fillId="0" borderId="0" xfId="0" applyNumberFormat="1" applyFont="1" applyBorder="1" applyAlignment="1" applyProtection="1">
      <alignment horizontal="center"/>
      <protection hidden="1"/>
    </xf>
    <xf numFmtId="0" fontId="21" fillId="0" borderId="0" xfId="0" applyFont="1" applyAlignment="1">
      <alignment horizontal="center"/>
    </xf>
    <xf numFmtId="0" fontId="47" fillId="41" borderId="0" xfId="0" applyFont="1" applyFill="1"/>
    <xf numFmtId="1" fontId="0" fillId="42" borderId="0" xfId="0" applyNumberFormat="1" applyFill="1" applyAlignment="1" applyProtection="1">
      <alignment horizontal="center"/>
      <protection hidden="1"/>
    </xf>
    <xf numFmtId="0" fontId="40" fillId="41" borderId="0" xfId="0" applyFont="1" applyFill="1" applyAlignment="1">
      <alignment horizontal="center"/>
    </xf>
    <xf numFmtId="1" fontId="0" fillId="43" borderId="3" xfId="0" applyNumberFormat="1" applyFill="1" applyBorder="1" applyAlignment="1" applyProtection="1">
      <alignment horizontal="center"/>
      <protection hidden="1"/>
    </xf>
    <xf numFmtId="0" fontId="4" fillId="0" borderId="0" xfId="0" applyFont="1"/>
    <xf numFmtId="0" fontId="5" fillId="44" borderId="60" xfId="0" applyFont="1" applyFill="1" applyBorder="1" applyAlignment="1">
      <alignment horizontal="center"/>
    </xf>
    <xf numFmtId="0" fontId="5" fillId="44" borderId="61" xfId="0" applyFont="1" applyFill="1" applyBorder="1" applyAlignment="1">
      <alignment horizontal="center"/>
    </xf>
    <xf numFmtId="0" fontId="5" fillId="44" borderId="62" xfId="0" applyFont="1" applyFill="1" applyBorder="1" applyAlignment="1">
      <alignment horizontal="center"/>
    </xf>
    <xf numFmtId="0" fontId="27" fillId="0" borderId="0" xfId="0" applyFont="1" applyAlignment="1">
      <alignment horizontal="center"/>
    </xf>
    <xf numFmtId="14" fontId="12" fillId="0" borderId="0" xfId="0" applyNumberFormat="1" applyFont="1" applyAlignment="1" applyProtection="1">
      <alignment horizontal="center"/>
      <protection hidden="1"/>
    </xf>
    <xf numFmtId="0" fontId="74" fillId="0" borderId="0" xfId="0" applyFont="1" applyAlignment="1" applyProtection="1">
      <alignment horizontal="left"/>
      <protection hidden="1"/>
    </xf>
    <xf numFmtId="0" fontId="78" fillId="0" borderId="0" xfId="0" applyFont="1" applyAlignment="1" applyProtection="1">
      <alignment horizontal="center"/>
      <protection hidden="1"/>
    </xf>
    <xf numFmtId="0" fontId="74" fillId="0" borderId="0" xfId="0" applyFont="1" applyAlignment="1" applyProtection="1">
      <alignment horizontal="center"/>
      <protection hidden="1"/>
    </xf>
    <xf numFmtId="1" fontId="5" fillId="0" borderId="0" xfId="0" applyNumberFormat="1" applyFont="1" applyAlignment="1">
      <alignment horizontal="center"/>
    </xf>
    <xf numFmtId="0" fontId="78" fillId="0" borderId="0" xfId="0" applyFont="1" applyAlignment="1" applyProtection="1">
      <alignment horizontal="left"/>
      <protection hidden="1"/>
    </xf>
    <xf numFmtId="1" fontId="10" fillId="0" borderId="0" xfId="0" applyNumberFormat="1" applyFont="1" applyAlignment="1" applyProtection="1">
      <alignment horizontal="center"/>
      <protection hidden="1"/>
    </xf>
    <xf numFmtId="0" fontId="82" fillId="0" borderId="0" xfId="0" applyFont="1" applyAlignment="1" applyProtection="1">
      <alignment horizontal="center"/>
      <protection hidden="1"/>
    </xf>
    <xf numFmtId="0" fontId="83" fillId="0" borderId="0" xfId="0" applyFont="1" applyAlignment="1" applyProtection="1">
      <alignment horizontal="center"/>
      <protection hidden="1"/>
    </xf>
    <xf numFmtId="1" fontId="82" fillId="0" borderId="0" xfId="0" applyNumberFormat="1" applyFont="1" applyAlignment="1" applyProtection="1">
      <alignment horizontal="center"/>
      <protection hidden="1"/>
    </xf>
    <xf numFmtId="168" fontId="82" fillId="0" borderId="0" xfId="0" applyNumberFormat="1" applyFont="1" applyAlignment="1" applyProtection="1">
      <alignment horizontal="center"/>
      <protection hidden="1"/>
    </xf>
    <xf numFmtId="168" fontId="83" fillId="0" borderId="0" xfId="0" applyNumberFormat="1" applyFont="1" applyAlignment="1" applyProtection="1">
      <alignment horizontal="center"/>
      <protection hidden="1"/>
    </xf>
    <xf numFmtId="168" fontId="5" fillId="0" borderId="0" xfId="0" applyNumberFormat="1" applyFont="1" applyAlignment="1">
      <alignment horizontal="center"/>
    </xf>
    <xf numFmtId="172" fontId="0" fillId="0" borderId="0" xfId="0" applyNumberFormat="1"/>
    <xf numFmtId="0" fontId="42" fillId="16" borderId="23" xfId="0" applyFont="1" applyFill="1" applyBorder="1" applyAlignment="1" applyProtection="1">
      <alignment horizontal="center"/>
      <protection hidden="1"/>
    </xf>
    <xf numFmtId="168" fontId="84" fillId="40" borderId="0" xfId="0" applyNumberFormat="1" applyFont="1" applyFill="1" applyAlignment="1">
      <alignment horizontal="center"/>
    </xf>
    <xf numFmtId="0" fontId="84" fillId="40" borderId="0" xfId="0" applyFont="1" applyFill="1" applyAlignment="1">
      <alignment horizontal="center"/>
    </xf>
    <xf numFmtId="0" fontId="23" fillId="0" borderId="0" xfId="0" applyFont="1" applyAlignment="1" applyProtection="1">
      <alignment horizontal="center"/>
      <protection hidden="1"/>
    </xf>
    <xf numFmtId="0" fontId="12" fillId="0" borderId="0" xfId="0" applyNumberFormat="1" applyFont="1" applyBorder="1" applyAlignment="1" applyProtection="1">
      <alignment horizontal="center"/>
      <protection hidden="1"/>
    </xf>
    <xf numFmtId="0" fontId="10" fillId="47" borderId="0" xfId="0" applyFont="1" applyFill="1" applyAlignment="1" applyProtection="1">
      <alignment horizontal="center"/>
      <protection hidden="1"/>
    </xf>
    <xf numFmtId="0" fontId="24" fillId="0" borderId="8" xfId="0" applyFont="1" applyBorder="1" applyAlignment="1">
      <alignment horizontal="left"/>
    </xf>
    <xf numFmtId="0" fontId="77" fillId="0" borderId="26" xfId="0" applyFont="1" applyFill="1" applyBorder="1" applyAlignment="1">
      <alignment horizontal="center"/>
    </xf>
    <xf numFmtId="0" fontId="80" fillId="0" borderId="0" xfId="0" applyFont="1"/>
    <xf numFmtId="0" fontId="20" fillId="38" borderId="19" xfId="0" applyFont="1" applyFill="1" applyBorder="1" applyAlignment="1">
      <alignment horizontal="center"/>
    </xf>
    <xf numFmtId="0" fontId="10" fillId="0" borderId="0" xfId="0" applyFont="1" applyAlignment="1" applyProtection="1">
      <alignment horizontal="center"/>
      <protection hidden="1"/>
    </xf>
    <xf numFmtId="0" fontId="12" fillId="0" borderId="0" xfId="0" applyFont="1" applyAlignment="1" applyProtection="1">
      <alignment horizontal="left"/>
      <protection hidden="1"/>
    </xf>
    <xf numFmtId="0" fontId="12" fillId="41" borderId="0" xfId="0" applyFont="1" applyFill="1" applyAlignment="1" applyProtection="1">
      <alignment horizontal="center"/>
      <protection hidden="1"/>
    </xf>
    <xf numFmtId="168" fontId="11" fillId="0" borderId="0" xfId="0" applyNumberFormat="1" applyFont="1" applyAlignment="1" applyProtection="1">
      <alignment horizontal="center"/>
      <protection hidden="1"/>
    </xf>
    <xf numFmtId="170" fontId="11" fillId="0" borderId="0" xfId="0" applyNumberFormat="1" applyFont="1" applyAlignment="1" applyProtection="1">
      <alignment horizontal="center"/>
      <protection hidden="1"/>
    </xf>
    <xf numFmtId="0" fontId="12" fillId="0" borderId="0" xfId="0" applyFont="1" applyBorder="1" applyAlignment="1" applyProtection="1">
      <alignment horizontal="center"/>
      <protection hidden="1"/>
    </xf>
    <xf numFmtId="0" fontId="12" fillId="0" borderId="0" xfId="0" applyFont="1" applyBorder="1" applyAlignment="1" applyProtection="1">
      <alignment horizontal="left"/>
      <protection hidden="1"/>
    </xf>
    <xf numFmtId="0" fontId="10" fillId="0" borderId="0" xfId="0" applyFont="1" applyAlignment="1" applyProtection="1">
      <alignment horizontal="center"/>
      <protection hidden="1"/>
    </xf>
    <xf numFmtId="0" fontId="0" fillId="0" borderId="0" xfId="0" quotePrefix="1" applyAlignment="1">
      <alignment horizontal="left"/>
    </xf>
    <xf numFmtId="0" fontId="3" fillId="0" borderId="0" xfId="3"/>
    <xf numFmtId="0" fontId="10" fillId="41" borderId="0" xfId="8" applyFont="1" applyFill="1" applyAlignment="1" applyProtection="1">
      <alignment horizontal="left"/>
      <protection hidden="1"/>
    </xf>
    <xf numFmtId="0" fontId="3" fillId="41" borderId="0" xfId="3" applyFill="1" applyProtection="1">
      <protection hidden="1"/>
    </xf>
    <xf numFmtId="0" fontId="3" fillId="35" borderId="0" xfId="3" applyFill="1" applyProtection="1">
      <protection hidden="1"/>
    </xf>
    <xf numFmtId="0" fontId="89" fillId="35" borderId="0" xfId="3" applyFont="1" applyFill="1" applyProtection="1">
      <protection hidden="1"/>
    </xf>
    <xf numFmtId="0" fontId="75" fillId="35" borderId="0" xfId="8" applyFont="1" applyFill="1" applyAlignment="1" applyProtection="1">
      <alignment horizontal="left"/>
      <protection hidden="1"/>
    </xf>
    <xf numFmtId="0" fontId="10" fillId="55" borderId="0" xfId="8" applyFont="1" applyFill="1" applyAlignment="1" applyProtection="1">
      <alignment horizontal="left"/>
      <protection hidden="1"/>
    </xf>
    <xf numFmtId="0" fontId="3" fillId="55" borderId="0" xfId="3" applyFill="1" applyProtection="1">
      <protection hidden="1"/>
    </xf>
    <xf numFmtId="173" fontId="75" fillId="35" borderId="0" xfId="5" applyNumberFormat="1" applyFont="1" applyFill="1" applyBorder="1" applyAlignment="1" applyProtection="1">
      <alignment horizontal="center"/>
      <protection hidden="1"/>
    </xf>
    <xf numFmtId="173" fontId="75" fillId="35" borderId="0" xfId="5" applyNumberFormat="1" applyFont="1" applyFill="1" applyBorder="1" applyAlignment="1" applyProtection="1">
      <alignment horizontal="left"/>
      <protection hidden="1"/>
    </xf>
    <xf numFmtId="173" fontId="11" fillId="55" borderId="0" xfId="5" applyNumberFormat="1" applyFont="1" applyFill="1" applyBorder="1" applyAlignment="1" applyProtection="1">
      <alignment horizontal="left"/>
      <protection hidden="1"/>
    </xf>
    <xf numFmtId="173" fontId="11" fillId="55" borderId="0" xfId="5" applyNumberFormat="1" applyFont="1" applyFill="1" applyBorder="1" applyAlignment="1" applyProtection="1">
      <alignment horizontal="center"/>
      <protection hidden="1"/>
    </xf>
    <xf numFmtId="173" fontId="11" fillId="41" borderId="0" xfId="5" applyNumberFormat="1" applyFont="1" applyFill="1" applyBorder="1" applyAlignment="1" applyProtection="1">
      <alignment horizontal="center"/>
      <protection hidden="1"/>
    </xf>
    <xf numFmtId="173" fontId="11" fillId="41" borderId="0" xfId="5" applyNumberFormat="1" applyFont="1" applyFill="1" applyBorder="1" applyAlignment="1" applyProtection="1">
      <alignment horizontal="left"/>
      <protection hidden="1"/>
    </xf>
    <xf numFmtId="0" fontId="4" fillId="41" borderId="0" xfId="5" applyFill="1" applyProtection="1">
      <protection hidden="1"/>
    </xf>
    <xf numFmtId="0" fontId="4" fillId="35" borderId="0" xfId="5" applyFill="1" applyProtection="1">
      <protection hidden="1"/>
    </xf>
    <xf numFmtId="0" fontId="87" fillId="35" borderId="0" xfId="3" applyFont="1" applyFill="1" applyProtection="1">
      <protection hidden="1"/>
    </xf>
    <xf numFmtId="0" fontId="88" fillId="35" borderId="0" xfId="3" applyFont="1" applyFill="1" applyProtection="1">
      <protection hidden="1"/>
    </xf>
    <xf numFmtId="0" fontId="5" fillId="35" borderId="0" xfId="5" applyFont="1" applyFill="1" applyProtection="1">
      <protection hidden="1"/>
    </xf>
    <xf numFmtId="0" fontId="93" fillId="41" borderId="0" xfId="3" applyFont="1" applyFill="1" applyProtection="1">
      <protection hidden="1"/>
    </xf>
    <xf numFmtId="0" fontId="88" fillId="56" borderId="3" xfId="3" applyFont="1" applyFill="1" applyBorder="1" applyAlignment="1">
      <alignment horizontal="center"/>
    </xf>
    <xf numFmtId="0" fontId="74" fillId="55" borderId="0" xfId="8" applyFont="1" applyFill="1" applyAlignment="1" applyProtection="1">
      <alignment horizontal="left"/>
      <protection hidden="1"/>
    </xf>
    <xf numFmtId="0" fontId="3" fillId="55" borderId="0" xfId="3" applyFont="1" applyFill="1" applyProtection="1">
      <protection hidden="1"/>
    </xf>
    <xf numFmtId="0" fontId="88" fillId="47" borderId="0" xfId="3" applyFont="1" applyFill="1" applyAlignment="1">
      <alignment horizontal="left"/>
    </xf>
    <xf numFmtId="0" fontId="91" fillId="0" borderId="0" xfId="3" applyFont="1" applyAlignment="1">
      <alignment horizontal="center"/>
    </xf>
    <xf numFmtId="0" fontId="3" fillId="0" borderId="0" xfId="10"/>
    <xf numFmtId="0" fontId="10" fillId="0" borderId="0" xfId="8" applyFont="1" applyFill="1" applyAlignment="1" applyProtection="1">
      <alignment horizontal="left"/>
      <protection hidden="1"/>
    </xf>
    <xf numFmtId="0" fontId="10" fillId="0" borderId="0" xfId="8" applyFont="1" applyFill="1" applyAlignment="1" applyProtection="1">
      <alignment horizontal="center"/>
      <protection hidden="1"/>
    </xf>
    <xf numFmtId="0" fontId="4" fillId="0" borderId="0" xfId="5" applyProtection="1">
      <protection hidden="1"/>
    </xf>
    <xf numFmtId="0" fontId="4" fillId="0" borderId="0" xfId="8" applyProtection="1">
      <protection hidden="1"/>
    </xf>
    <xf numFmtId="0" fontId="10" fillId="41" borderId="0" xfId="8" applyFont="1" applyFill="1" applyAlignment="1" applyProtection="1">
      <alignment horizontal="left"/>
      <protection hidden="1"/>
    </xf>
    <xf numFmtId="0" fontId="92" fillId="0" borderId="0" xfId="8" applyFont="1" applyFill="1" applyAlignment="1" applyProtection="1">
      <alignment horizontal="left"/>
      <protection hidden="1"/>
    </xf>
    <xf numFmtId="0" fontId="4" fillId="41" borderId="0" xfId="8" applyFill="1" applyProtection="1">
      <protection hidden="1"/>
    </xf>
    <xf numFmtId="0" fontId="3" fillId="41" borderId="0" xfId="10" applyFill="1" applyProtection="1">
      <protection hidden="1"/>
    </xf>
    <xf numFmtId="0" fontId="88" fillId="41" borderId="0" xfId="10" applyFont="1" applyFill="1" applyProtection="1">
      <protection hidden="1"/>
    </xf>
    <xf numFmtId="0" fontId="75" fillId="35" borderId="0" xfId="8" applyFont="1" applyFill="1" applyAlignment="1" applyProtection="1">
      <alignment horizontal="left"/>
      <protection hidden="1"/>
    </xf>
    <xf numFmtId="0" fontId="85" fillId="35" borderId="0" xfId="8" applyFont="1" applyFill="1" applyProtection="1">
      <protection hidden="1"/>
    </xf>
    <xf numFmtId="0" fontId="91" fillId="0" borderId="3" xfId="10" applyFont="1" applyBorder="1" applyAlignment="1" applyProtection="1">
      <alignment horizontal="center"/>
      <protection hidden="1"/>
    </xf>
    <xf numFmtId="0" fontId="80" fillId="0" borderId="3" xfId="5" applyFont="1" applyBorder="1" applyAlignment="1" applyProtection="1">
      <alignment horizontal="center"/>
      <protection hidden="1"/>
    </xf>
    <xf numFmtId="49" fontId="21" fillId="0" borderId="3" xfId="5" applyNumberFormat="1" applyFont="1" applyBorder="1" applyProtection="1">
      <protection hidden="1"/>
    </xf>
    <xf numFmtId="0" fontId="4" fillId="54" borderId="3" xfId="5" applyFill="1" applyBorder="1" applyAlignment="1" applyProtection="1">
      <alignment horizontal="center"/>
      <protection hidden="1"/>
    </xf>
    <xf numFmtId="0" fontId="88" fillId="0" borderId="0" xfId="10" applyFont="1" applyProtection="1">
      <protection hidden="1"/>
    </xf>
    <xf numFmtId="0" fontId="3" fillId="0" borderId="0" xfId="10" applyAlignment="1"/>
    <xf numFmtId="0" fontId="10" fillId="44" borderId="0" xfId="8" applyFont="1" applyFill="1" applyAlignment="1" applyProtection="1">
      <alignment horizontal="left"/>
      <protection hidden="1"/>
    </xf>
    <xf numFmtId="0" fontId="4" fillId="44" borderId="0" xfId="8" applyFill="1" applyProtection="1">
      <protection hidden="1"/>
    </xf>
    <xf numFmtId="0" fontId="3" fillId="44" borderId="0" xfId="10" applyFill="1"/>
    <xf numFmtId="0" fontId="10" fillId="47" borderId="0" xfId="8" applyFont="1" applyFill="1" applyAlignment="1" applyProtection="1">
      <alignment horizontal="left"/>
      <protection hidden="1"/>
    </xf>
    <xf numFmtId="0" fontId="4" fillId="47" borderId="0" xfId="8" applyFill="1" applyProtection="1">
      <protection hidden="1"/>
    </xf>
    <xf numFmtId="0" fontId="3" fillId="47" borderId="0" xfId="10" applyFill="1"/>
    <xf numFmtId="0" fontId="89" fillId="35" borderId="0" xfId="10" applyFont="1" applyFill="1"/>
    <xf numFmtId="0" fontId="75" fillId="50" borderId="0" xfId="8" applyFont="1" applyFill="1" applyAlignment="1" applyProtection="1">
      <alignment horizontal="left"/>
      <protection hidden="1"/>
    </xf>
    <xf numFmtId="0" fontId="89" fillId="50" borderId="0" xfId="10" applyFont="1" applyFill="1"/>
    <xf numFmtId="0" fontId="10" fillId="52" borderId="0" xfId="8" applyFont="1" applyFill="1" applyAlignment="1" applyProtection="1">
      <alignment horizontal="left"/>
      <protection hidden="1"/>
    </xf>
    <xf numFmtId="0" fontId="3" fillId="52" borderId="0" xfId="10" applyFill="1"/>
    <xf numFmtId="0" fontId="10" fillId="52" borderId="0" xfId="0" applyFont="1" applyFill="1" applyAlignment="1" applyProtection="1">
      <alignment horizontal="center"/>
      <protection hidden="1"/>
    </xf>
    <xf numFmtId="0" fontId="4" fillId="52" borderId="0" xfId="8" applyFill="1" applyProtection="1">
      <protection hidden="1"/>
    </xf>
    <xf numFmtId="0" fontId="27" fillId="0" borderId="0" xfId="0" applyFont="1" applyAlignment="1" applyProtection="1">
      <alignment horizontal="left"/>
      <protection hidden="1"/>
    </xf>
    <xf numFmtId="0" fontId="75" fillId="0" borderId="0" xfId="0" applyFont="1" applyAlignment="1" applyProtection="1">
      <alignment horizontal="center"/>
      <protection hidden="1"/>
    </xf>
    <xf numFmtId="0" fontId="75" fillId="2" borderId="0" xfId="0" applyFont="1" applyFill="1" applyAlignment="1" applyProtection="1">
      <alignment horizontal="center"/>
      <protection hidden="1"/>
    </xf>
    <xf numFmtId="0" fontId="89" fillId="0" borderId="0" xfId="10" applyFont="1"/>
    <xf numFmtId="0" fontId="75" fillId="0" borderId="69" xfId="0" applyFont="1" applyFill="1" applyBorder="1" applyAlignment="1" applyProtection="1">
      <alignment horizontal="center"/>
      <protection hidden="1"/>
    </xf>
    <xf numFmtId="0" fontId="75" fillId="47" borderId="0" xfId="0" applyFont="1" applyFill="1" applyAlignment="1" applyProtection="1">
      <alignment horizontal="center"/>
      <protection hidden="1"/>
    </xf>
    <xf numFmtId="0" fontId="62" fillId="0" borderId="0" xfId="0" applyFont="1" applyFill="1" applyBorder="1" applyAlignment="1" applyProtection="1">
      <alignment horizontal="center"/>
      <protection hidden="1"/>
    </xf>
    <xf numFmtId="1" fontId="38" fillId="4" borderId="0" xfId="0" applyNumberFormat="1" applyFont="1" applyFill="1" applyProtection="1">
      <protection hidden="1"/>
    </xf>
    <xf numFmtId="0" fontId="90" fillId="0" borderId="0" xfId="4" applyFont="1"/>
    <xf numFmtId="0" fontId="90" fillId="0" borderId="0" xfId="4" applyFont="1"/>
    <xf numFmtId="0" fontId="90" fillId="0" borderId="0" xfId="4" applyFont="1"/>
    <xf numFmtId="0" fontId="90" fillId="0" borderId="0" xfId="4" applyFont="1"/>
    <xf numFmtId="0" fontId="90" fillId="0" borderId="0" xfId="4" applyFont="1"/>
    <xf numFmtId="0" fontId="90" fillId="0" borderId="0" xfId="4" applyFont="1"/>
    <xf numFmtId="0" fontId="90" fillId="0" borderId="0" xfId="4" applyFont="1"/>
    <xf numFmtId="0" fontId="90" fillId="0" borderId="0" xfId="4" applyFont="1"/>
    <xf numFmtId="0" fontId="90" fillId="0" borderId="0" xfId="4" applyFont="1"/>
    <xf numFmtId="0" fontId="90" fillId="0" borderId="0" xfId="4" applyFont="1"/>
    <xf numFmtId="0" fontId="90" fillId="0" borderId="0" xfId="4" applyFont="1"/>
    <xf numFmtId="0" fontId="90" fillId="0" borderId="0" xfId="4" applyFont="1"/>
    <xf numFmtId="1" fontId="12" fillId="0" borderId="0" xfId="0" applyNumberFormat="1" applyFont="1" applyBorder="1" applyAlignment="1" applyProtection="1">
      <alignment horizontal="center"/>
      <protection hidden="1"/>
    </xf>
    <xf numFmtId="0" fontId="98" fillId="47" borderId="23" xfId="0" applyFont="1" applyFill="1" applyBorder="1" applyAlignment="1" applyProtection="1">
      <alignment horizontal="center"/>
      <protection hidden="1"/>
    </xf>
    <xf numFmtId="0" fontId="77" fillId="0" borderId="0" xfId="0" applyFont="1" applyFill="1" applyBorder="1" applyAlignment="1">
      <alignment horizontal="center"/>
    </xf>
    <xf numFmtId="0" fontId="73" fillId="37" borderId="4" xfId="0" applyFont="1" applyFill="1" applyBorder="1" applyAlignment="1">
      <alignment horizontal="center"/>
    </xf>
    <xf numFmtId="0" fontId="24" fillId="39" borderId="0" xfId="0" applyFont="1" applyFill="1" applyBorder="1" applyAlignment="1">
      <alignment horizontal="center"/>
    </xf>
    <xf numFmtId="0" fontId="21" fillId="0" borderId="32" xfId="0" applyFont="1" applyBorder="1"/>
    <xf numFmtId="0" fontId="0" fillId="0" borderId="0" xfId="0" applyAlignment="1"/>
    <xf numFmtId="0" fontId="0" fillId="0" borderId="28" xfId="0" applyBorder="1" applyAlignment="1"/>
    <xf numFmtId="0" fontId="0" fillId="0" borderId="30" xfId="0" applyBorder="1" applyAlignment="1"/>
    <xf numFmtId="0" fontId="0" fillId="0" borderId="0" xfId="0" applyBorder="1" applyAlignment="1"/>
    <xf numFmtId="0" fontId="0" fillId="0" borderId="31" xfId="0" applyBorder="1" applyAlignment="1"/>
    <xf numFmtId="0" fontId="0" fillId="0" borderId="0" xfId="0" applyAlignment="1"/>
    <xf numFmtId="0" fontId="0" fillId="0" borderId="30" xfId="0" applyBorder="1" applyAlignment="1"/>
    <xf numFmtId="0" fontId="0" fillId="0" borderId="0" xfId="0" applyBorder="1" applyAlignment="1"/>
    <xf numFmtId="0" fontId="0" fillId="0" borderId="31" xfId="0" applyBorder="1" applyAlignment="1"/>
    <xf numFmtId="0" fontId="0" fillId="0" borderId="4" xfId="0" applyBorder="1" applyAlignment="1"/>
    <xf numFmtId="0" fontId="0" fillId="0" borderId="7" xfId="0" applyBorder="1"/>
    <xf numFmtId="0" fontId="50" fillId="0" borderId="33" xfId="0" applyFont="1" applyBorder="1" applyAlignment="1">
      <alignment horizontal="center" vertical="center"/>
    </xf>
    <xf numFmtId="0" fontId="21" fillId="0" borderId="73" xfId="0" applyFont="1" applyBorder="1" applyAlignment="1">
      <alignment horizontal="center"/>
    </xf>
    <xf numFmtId="0" fontId="51" fillId="0" borderId="47" xfId="0" applyFont="1" applyBorder="1" applyAlignment="1">
      <alignment horizontal="center"/>
    </xf>
    <xf numFmtId="0" fontId="0" fillId="0" borderId="71" xfId="0" applyBorder="1"/>
    <xf numFmtId="0" fontId="0" fillId="0" borderId="23" xfId="0" applyBorder="1"/>
    <xf numFmtId="0" fontId="0" fillId="0" borderId="8" xfId="0" applyBorder="1"/>
    <xf numFmtId="0" fontId="0" fillId="0" borderId="9" xfId="0" applyBorder="1" applyAlignment="1"/>
    <xf numFmtId="0" fontId="0" fillId="15" borderId="0" xfId="0" applyFill="1" applyBorder="1"/>
    <xf numFmtId="0" fontId="0" fillId="15" borderId="23" xfId="0" applyFill="1" applyBorder="1"/>
    <xf numFmtId="0" fontId="13" fillId="16" borderId="23" xfId="0" applyFont="1" applyFill="1" applyBorder="1" applyAlignment="1">
      <alignment horizontal="right" vertical="center"/>
    </xf>
    <xf numFmtId="1" fontId="13" fillId="16" borderId="23" xfId="0" applyNumberFormat="1" applyFont="1" applyFill="1" applyBorder="1" applyAlignment="1">
      <alignment horizontal="right" vertical="center"/>
    </xf>
    <xf numFmtId="0" fontId="51" fillId="0" borderId="76" xfId="0" applyFont="1" applyBorder="1" applyAlignment="1">
      <alignment horizontal="center"/>
    </xf>
    <xf numFmtId="0" fontId="0" fillId="0" borderId="75" xfId="0" applyBorder="1"/>
    <xf numFmtId="0" fontId="20" fillId="5" borderId="82" xfId="0" applyFont="1" applyFill="1" applyBorder="1" applyAlignment="1">
      <alignment horizontal="center"/>
    </xf>
    <xf numFmtId="0" fontId="20" fillId="5" borderId="83" xfId="0" applyFont="1" applyFill="1" applyBorder="1" applyAlignment="1">
      <alignment horizontal="center"/>
    </xf>
    <xf numFmtId="0" fontId="24" fillId="0" borderId="82" xfId="0" applyFont="1" applyBorder="1" applyAlignment="1">
      <alignment horizontal="center"/>
    </xf>
    <xf numFmtId="0" fontId="12" fillId="0" borderId="83" xfId="0" applyFont="1" applyBorder="1" applyAlignment="1">
      <alignment horizontal="center"/>
    </xf>
    <xf numFmtId="0" fontId="24" fillId="0" borderId="72" xfId="0" applyFont="1" applyBorder="1" applyAlignment="1">
      <alignment horizontal="center"/>
    </xf>
    <xf numFmtId="0" fontId="12" fillId="0" borderId="31" xfId="0" applyFont="1" applyBorder="1" applyAlignment="1">
      <alignment horizontal="center"/>
    </xf>
    <xf numFmtId="0" fontId="24" fillId="0" borderId="32" xfId="0" applyFont="1" applyBorder="1" applyAlignment="1">
      <alignment horizontal="center"/>
    </xf>
    <xf numFmtId="0" fontId="24" fillId="0" borderId="33" xfId="0" applyFont="1" applyBorder="1" applyAlignment="1">
      <alignment horizontal="center"/>
    </xf>
    <xf numFmtId="0" fontId="21" fillId="0" borderId="82" xfId="0" applyFont="1" applyBorder="1" applyAlignment="1">
      <alignment horizontal="center"/>
    </xf>
    <xf numFmtId="0" fontId="21" fillId="0" borderId="72" xfId="0" applyFont="1" applyBorder="1" applyAlignment="1">
      <alignment horizontal="center"/>
    </xf>
    <xf numFmtId="0" fontId="26" fillId="0" borderId="34" xfId="0" applyFont="1" applyBorder="1" applyAlignment="1">
      <alignment horizontal="center"/>
    </xf>
    <xf numFmtId="0" fontId="12" fillId="0" borderId="33" xfId="0" applyFont="1" applyBorder="1" applyAlignment="1">
      <alignment horizontal="center"/>
    </xf>
    <xf numFmtId="1" fontId="13" fillId="16" borderId="0" xfId="0" applyNumberFormat="1" applyFont="1" applyFill="1" applyBorder="1" applyAlignment="1">
      <alignment horizontal="center" vertical="center"/>
    </xf>
    <xf numFmtId="0" fontId="13" fillId="16" borderId="31" xfId="0" applyFont="1" applyFill="1" applyBorder="1" applyAlignment="1">
      <alignment horizontal="left" vertical="center"/>
    </xf>
    <xf numFmtId="0" fontId="92" fillId="37" borderId="0" xfId="0" applyFont="1" applyFill="1" applyBorder="1" applyAlignment="1">
      <alignment horizontal="center"/>
    </xf>
    <xf numFmtId="0" fontId="80" fillId="0" borderId="33" xfId="0" applyFont="1" applyBorder="1"/>
    <xf numFmtId="0" fontId="99" fillId="37" borderId="26" xfId="0" applyFont="1" applyFill="1" applyBorder="1" applyAlignment="1">
      <alignment horizontal="center"/>
    </xf>
    <xf numFmtId="0" fontId="92" fillId="37" borderId="28" xfId="0" applyFont="1" applyFill="1" applyBorder="1" applyAlignment="1">
      <alignment horizontal="center"/>
    </xf>
    <xf numFmtId="0" fontId="80" fillId="0" borderId="28" xfId="0" applyFont="1" applyBorder="1"/>
    <xf numFmtId="0" fontId="13" fillId="16" borderId="33" xfId="0" applyFont="1" applyFill="1" applyBorder="1" applyAlignment="1">
      <alignment horizontal="right" vertical="center"/>
    </xf>
    <xf numFmtId="0" fontId="0" fillId="0" borderId="0" xfId="0" applyBorder="1" applyAlignment="1">
      <alignment vertical="top"/>
    </xf>
    <xf numFmtId="0" fontId="0" fillId="0" borderId="4" xfId="0" applyBorder="1" applyAlignment="1">
      <alignment vertical="top"/>
    </xf>
    <xf numFmtId="0" fontId="20" fillId="0" borderId="4" xfId="0" applyFont="1" applyFill="1" applyBorder="1" applyAlignment="1">
      <alignment horizontal="center" vertical="top"/>
    </xf>
    <xf numFmtId="0" fontId="20" fillId="0" borderId="0" xfId="0" applyFont="1" applyFill="1" applyBorder="1" applyAlignment="1">
      <alignment horizontal="center" vertical="top"/>
    </xf>
    <xf numFmtId="0" fontId="21" fillId="0" borderId="0" xfId="0" applyFont="1" applyBorder="1" applyAlignment="1">
      <alignment horizontal="center"/>
    </xf>
    <xf numFmtId="0" fontId="0" fillId="0" borderId="9" xfId="0" applyBorder="1" applyAlignment="1">
      <alignment horizontal="center"/>
    </xf>
    <xf numFmtId="0" fontId="80" fillId="0" borderId="0" xfId="0" applyFont="1" applyBorder="1"/>
    <xf numFmtId="172" fontId="12" fillId="0" borderId="0" xfId="0" applyNumberFormat="1" applyFont="1" applyBorder="1" applyAlignment="1" applyProtection="1">
      <alignment horizontal="center"/>
      <protection hidden="1"/>
    </xf>
    <xf numFmtId="172" fontId="82" fillId="0" borderId="0" xfId="0" applyNumberFormat="1" applyFont="1" applyAlignment="1" applyProtection="1">
      <alignment horizontal="center"/>
      <protection hidden="1"/>
    </xf>
    <xf numFmtId="0" fontId="0" fillId="0" borderId="88" xfId="0" applyBorder="1" applyAlignment="1"/>
    <xf numFmtId="0" fontId="5" fillId="46" borderId="0" xfId="0" applyFont="1" applyFill="1" applyProtection="1">
      <protection hidden="1"/>
    </xf>
    <xf numFmtId="0" fontId="77" fillId="39" borderId="0" xfId="0" applyFont="1" applyFill="1" applyBorder="1" applyAlignment="1">
      <alignment horizontal="center"/>
    </xf>
    <xf numFmtId="0" fontId="78" fillId="39" borderId="23" xfId="0" applyFont="1" applyFill="1" applyBorder="1" applyAlignment="1">
      <alignment horizontal="center"/>
    </xf>
    <xf numFmtId="0" fontId="0" fillId="0" borderId="26" xfId="0" applyBorder="1" applyAlignment="1"/>
    <xf numFmtId="0" fontId="102" fillId="0" borderId="0" xfId="0" applyFont="1" applyBorder="1" applyAlignment="1"/>
    <xf numFmtId="0" fontId="103" fillId="0" borderId="0" xfId="0" applyFont="1" applyAlignment="1"/>
    <xf numFmtId="0" fontId="0" fillId="0" borderId="0" xfId="0" applyAlignment="1">
      <alignment wrapText="1"/>
    </xf>
    <xf numFmtId="0" fontId="72" fillId="35" borderId="32" xfId="0" applyFont="1" applyFill="1" applyBorder="1" applyAlignment="1">
      <alignment horizontal="center"/>
    </xf>
    <xf numFmtId="0" fontId="27" fillId="0" borderId="28" xfId="0" applyFont="1" applyBorder="1"/>
    <xf numFmtId="0" fontId="92" fillId="37" borderId="28" xfId="0" applyFont="1" applyFill="1" applyBorder="1"/>
    <xf numFmtId="0" fontId="27" fillId="0" borderId="0" xfId="0" applyFont="1" applyBorder="1"/>
    <xf numFmtId="0" fontId="92" fillId="35" borderId="28" xfId="0" applyFont="1" applyFill="1" applyBorder="1" applyAlignment="1">
      <alignment horizontal="center"/>
    </xf>
    <xf numFmtId="0" fontId="105" fillId="35" borderId="28" xfId="0" applyFont="1" applyFill="1" applyBorder="1"/>
    <xf numFmtId="0" fontId="92" fillId="37" borderId="0" xfId="0" applyFont="1" applyFill="1" applyBorder="1"/>
    <xf numFmtId="0" fontId="27" fillId="0" borderId="0" xfId="0" applyFont="1"/>
    <xf numFmtId="0" fontId="92" fillId="37" borderId="73" xfId="0" applyFont="1" applyFill="1" applyBorder="1"/>
    <xf numFmtId="0" fontId="72" fillId="38" borderId="19" xfId="0" applyFont="1" applyFill="1" applyBorder="1" applyAlignment="1">
      <alignment horizontal="center"/>
    </xf>
    <xf numFmtId="0" fontId="99" fillId="37" borderId="0" xfId="0" applyFont="1" applyFill="1" applyBorder="1" applyAlignment="1">
      <alignment horizontal="center"/>
    </xf>
    <xf numFmtId="0" fontId="75" fillId="37" borderId="23" xfId="0" applyFont="1" applyFill="1" applyBorder="1" applyAlignment="1">
      <alignment horizontal="center"/>
    </xf>
    <xf numFmtId="0" fontId="0" fillId="0" borderId="26" xfId="0" applyBorder="1" applyAlignment="1"/>
    <xf numFmtId="0" fontId="77" fillId="39" borderId="4" xfId="0" applyFont="1" applyFill="1" applyBorder="1" applyAlignment="1">
      <alignment horizontal="center"/>
    </xf>
    <xf numFmtId="0" fontId="99" fillId="38" borderId="0" xfId="0" applyFont="1" applyFill="1" applyBorder="1" applyAlignment="1">
      <alignment horizontal="center"/>
    </xf>
    <xf numFmtId="0" fontId="75" fillId="40" borderId="23" xfId="0" applyFont="1" applyFill="1" applyBorder="1" applyAlignment="1">
      <alignment horizontal="center"/>
    </xf>
    <xf numFmtId="0" fontId="0" fillId="0" borderId="26" xfId="0" applyBorder="1" applyAlignment="1"/>
    <xf numFmtId="0" fontId="5" fillId="2" borderId="18" xfId="0" applyFont="1" applyFill="1" applyBorder="1" applyAlignment="1" applyProtection="1">
      <alignment horizontal="center"/>
      <protection hidden="1"/>
    </xf>
    <xf numFmtId="0" fontId="5" fillId="52" borderId="0" xfId="0" applyFont="1" applyFill="1" applyProtection="1">
      <protection hidden="1"/>
    </xf>
    <xf numFmtId="0" fontId="5" fillId="10" borderId="0" xfId="0" applyFont="1" applyFill="1" applyAlignment="1">
      <alignment horizontal="center"/>
    </xf>
    <xf numFmtId="0" fontId="5" fillId="7" borderId="11" xfId="0" applyFont="1" applyFill="1" applyBorder="1" applyProtection="1">
      <protection hidden="1"/>
    </xf>
    <xf numFmtId="0" fontId="5" fillId="7" borderId="12" xfId="0" applyFont="1" applyFill="1" applyBorder="1" applyProtection="1">
      <protection hidden="1"/>
    </xf>
    <xf numFmtId="0" fontId="5" fillId="27" borderId="0" xfId="0" applyFont="1" applyFill="1" applyProtection="1">
      <protection hidden="1"/>
    </xf>
    <xf numFmtId="0" fontId="27" fillId="0" borderId="0" xfId="0" applyFont="1" applyAlignment="1" applyProtection="1">
      <alignment horizontal="center"/>
      <protection hidden="1"/>
    </xf>
    <xf numFmtId="0" fontId="5" fillId="5" borderId="0" xfId="0" applyFont="1" applyFill="1" applyProtection="1">
      <protection hidden="1"/>
    </xf>
    <xf numFmtId="1" fontId="29" fillId="16" borderId="0" xfId="0" applyNumberFormat="1" applyFont="1" applyFill="1" applyAlignment="1">
      <alignment horizontal="center" vertical="center"/>
    </xf>
    <xf numFmtId="0" fontId="29" fillId="16" borderId="0" xfId="0" applyFont="1" applyFill="1" applyProtection="1">
      <protection hidden="1"/>
    </xf>
    <xf numFmtId="49" fontId="5" fillId="0" borderId="0" xfId="0" applyNumberFormat="1" applyFont="1" applyProtection="1">
      <protection hidden="1"/>
    </xf>
    <xf numFmtId="0" fontId="5" fillId="11" borderId="21" xfId="0" applyFont="1" applyFill="1" applyBorder="1" applyProtection="1">
      <protection hidden="1"/>
    </xf>
    <xf numFmtId="0" fontId="5" fillId="27" borderId="21" xfId="0" applyFont="1" applyFill="1" applyBorder="1" applyProtection="1">
      <protection hidden="1"/>
    </xf>
    <xf numFmtId="0" fontId="5" fillId="10" borderId="21" xfId="0" applyFont="1" applyFill="1" applyBorder="1" applyProtection="1">
      <protection hidden="1"/>
    </xf>
    <xf numFmtId="0" fontId="5" fillId="10" borderId="22" xfId="0" applyFont="1" applyFill="1" applyBorder="1" applyProtection="1">
      <protection hidden="1"/>
    </xf>
    <xf numFmtId="0" fontId="5" fillId="2" borderId="0" xfId="0" applyFont="1" applyFill="1" applyProtection="1">
      <protection hidden="1"/>
    </xf>
    <xf numFmtId="0" fontId="5" fillId="0" borderId="0" xfId="0" applyFont="1" applyBorder="1" applyProtection="1">
      <protection hidden="1"/>
    </xf>
    <xf numFmtId="0" fontId="5" fillId="0" borderId="6" xfId="0" applyFont="1" applyBorder="1" applyProtection="1">
      <protection hidden="1"/>
    </xf>
    <xf numFmtId="0" fontId="5" fillId="0" borderId="7" xfId="0" applyFont="1" applyBorder="1" applyProtection="1">
      <protection hidden="1"/>
    </xf>
    <xf numFmtId="0" fontId="5" fillId="0" borderId="8" xfId="0" applyFont="1" applyBorder="1" applyAlignment="1"/>
    <xf numFmtId="0" fontId="5" fillId="0" borderId="8" xfId="0" applyFont="1" applyBorder="1" applyProtection="1">
      <protection hidden="1"/>
    </xf>
    <xf numFmtId="0" fontId="5" fillId="0" borderId="4" xfId="0" applyFont="1" applyBorder="1" applyAlignment="1" applyProtection="1">
      <alignment horizontal="center"/>
      <protection hidden="1"/>
    </xf>
    <xf numFmtId="0" fontId="5" fillId="0" borderId="5" xfId="0" applyFont="1" applyBorder="1" applyAlignment="1" applyProtection="1">
      <alignment horizontal="center"/>
      <protection hidden="1"/>
    </xf>
    <xf numFmtId="0" fontId="5" fillId="0" borderId="4" xfId="0" applyFont="1" applyBorder="1" applyAlignment="1" applyProtection="1">
      <protection hidden="1"/>
    </xf>
    <xf numFmtId="0" fontId="5" fillId="0" borderId="4" xfId="0" applyFont="1" applyBorder="1" applyProtection="1">
      <protection hidden="1"/>
    </xf>
    <xf numFmtId="0" fontId="5" fillId="0" borderId="5" xfId="0" applyFont="1" applyBorder="1" applyProtection="1">
      <protection hidden="1"/>
    </xf>
    <xf numFmtId="0" fontId="5" fillId="11" borderId="0" xfId="0" applyFont="1" applyFill="1" applyProtection="1">
      <protection hidden="1"/>
    </xf>
    <xf numFmtId="0" fontId="5" fillId="14" borderId="0" xfId="0" applyFont="1" applyFill="1" applyProtection="1">
      <protection hidden="1"/>
    </xf>
    <xf numFmtId="0" fontId="64" fillId="14" borderId="0" xfId="0" applyFont="1" applyFill="1" applyProtection="1">
      <protection hidden="1"/>
    </xf>
    <xf numFmtId="0" fontId="48" fillId="15" borderId="0" xfId="0" applyFont="1" applyFill="1" applyProtection="1">
      <protection hidden="1"/>
    </xf>
    <xf numFmtId="0" fontId="107" fillId="46" borderId="0" xfId="0" applyFont="1" applyFill="1" applyProtection="1">
      <protection hidden="1"/>
    </xf>
    <xf numFmtId="0" fontId="108" fillId="52" borderId="0" xfId="0" applyFont="1" applyFill="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5" fillId="15" borderId="0" xfId="0" applyFont="1" applyFill="1"/>
    <xf numFmtId="0" fontId="33" fillId="0" borderId="0" xfId="0" applyFont="1" applyAlignment="1" applyProtection="1">
      <alignment horizontal="center"/>
      <protection hidden="1"/>
    </xf>
    <xf numFmtId="0" fontId="5" fillId="0" borderId="0" xfId="0" applyFont="1" applyAlignment="1" applyProtection="1">
      <alignment horizontal="center"/>
      <protection hidden="1"/>
    </xf>
    <xf numFmtId="168" fontId="5" fillId="0" borderId="0" xfId="0" applyNumberFormat="1" applyFont="1" applyProtection="1">
      <protection hidden="1"/>
    </xf>
    <xf numFmtId="0" fontId="37" fillId="7" borderId="18" xfId="0" applyFont="1" applyFill="1" applyBorder="1" applyProtection="1">
      <protection hidden="1"/>
    </xf>
    <xf numFmtId="0" fontId="5" fillId="27" borderId="0" xfId="0" applyFont="1" applyFill="1" applyAlignment="1" applyProtection="1">
      <alignment horizontal="center"/>
      <protection hidden="1"/>
    </xf>
    <xf numFmtId="0" fontId="5" fillId="7" borderId="37" xfId="0" applyFont="1" applyFill="1" applyBorder="1" applyAlignment="1" applyProtection="1">
      <alignment horizontal="center" vertical="center"/>
      <protection hidden="1"/>
    </xf>
    <xf numFmtId="0" fontId="5" fillId="7" borderId="38" xfId="0" applyFont="1" applyFill="1" applyBorder="1" applyAlignment="1" applyProtection="1">
      <alignment horizontal="center" vertical="center"/>
      <protection hidden="1"/>
    </xf>
    <xf numFmtId="0" fontId="111" fillId="7" borderId="38" xfId="0" applyFont="1" applyFill="1" applyBorder="1" applyAlignment="1" applyProtection="1">
      <alignment horizontal="center" vertical="center"/>
      <protection hidden="1"/>
    </xf>
    <xf numFmtId="0" fontId="7" fillId="7" borderId="27" xfId="0" applyFont="1" applyFill="1" applyBorder="1" applyAlignment="1" applyProtection="1">
      <alignment horizontal="center" vertical="center"/>
      <protection hidden="1"/>
    </xf>
    <xf numFmtId="0" fontId="5" fillId="0" borderId="0" xfId="0" applyFont="1" applyAlignment="1" applyProtection="1">
      <alignment horizontal="right"/>
      <protection hidden="1"/>
    </xf>
    <xf numFmtId="0" fontId="5" fillId="9" borderId="39" xfId="0" applyFont="1" applyFill="1" applyBorder="1" applyAlignment="1" applyProtection="1">
      <alignment horizontal="center" vertical="center"/>
      <protection hidden="1"/>
    </xf>
    <xf numFmtId="0" fontId="5" fillId="9" borderId="0" xfId="0" applyFont="1" applyFill="1" applyBorder="1" applyAlignment="1" applyProtection="1">
      <alignment horizontal="center" vertical="center"/>
      <protection hidden="1"/>
    </xf>
    <xf numFmtId="0" fontId="111" fillId="9" borderId="0" xfId="0" applyFont="1" applyFill="1" applyBorder="1" applyAlignment="1" applyProtection="1">
      <alignment horizontal="center" vertical="center"/>
      <protection hidden="1"/>
    </xf>
    <xf numFmtId="0" fontId="7" fillId="9" borderId="40" xfId="0" applyFont="1" applyFill="1" applyBorder="1" applyAlignment="1" applyProtection="1">
      <alignment horizontal="center" vertical="center"/>
      <protection hidden="1"/>
    </xf>
    <xf numFmtId="1" fontId="29" fillId="16" borderId="0" xfId="0" applyNumberFormat="1" applyFont="1" applyFill="1" applyAlignment="1">
      <alignment vertical="center"/>
    </xf>
    <xf numFmtId="1" fontId="29" fillId="16" borderId="0" xfId="0" applyNumberFormat="1" applyFont="1" applyFill="1" applyAlignment="1"/>
    <xf numFmtId="1" fontId="5" fillId="0" borderId="0" xfId="0" applyNumberFormat="1" applyFont="1" applyProtection="1">
      <protection hidden="1"/>
    </xf>
    <xf numFmtId="0" fontId="5" fillId="46" borderId="0" xfId="0" applyFont="1" applyFill="1" applyBorder="1" applyAlignment="1" applyProtection="1">
      <alignment horizontal="center" vertical="center"/>
      <protection hidden="1"/>
    </xf>
    <xf numFmtId="0" fontId="5" fillId="9" borderId="41" xfId="0" applyFont="1" applyFill="1" applyBorder="1" applyAlignment="1" applyProtection="1">
      <alignment horizontal="center" vertical="center"/>
      <protection hidden="1"/>
    </xf>
    <xf numFmtId="0" fontId="5" fillId="9" borderId="42" xfId="0" applyFont="1" applyFill="1" applyBorder="1" applyAlignment="1" applyProtection="1">
      <alignment horizontal="center" vertical="center"/>
      <protection hidden="1"/>
    </xf>
    <xf numFmtId="0" fontId="111" fillId="45" borderId="42" xfId="0" applyFont="1" applyFill="1" applyBorder="1" applyAlignment="1" applyProtection="1">
      <alignment horizontal="center" vertical="center"/>
      <protection hidden="1"/>
    </xf>
    <xf numFmtId="0" fontId="7" fillId="9" borderId="43" xfId="0" applyFont="1" applyFill="1" applyBorder="1" applyAlignment="1" applyProtection="1">
      <alignment horizontal="center" vertical="center"/>
      <protection hidden="1"/>
    </xf>
    <xf numFmtId="0" fontId="111" fillId="9" borderId="42" xfId="0" applyFont="1" applyFill="1" applyBorder="1" applyAlignment="1" applyProtection="1">
      <alignment horizontal="center" vertical="center"/>
      <protection hidden="1"/>
    </xf>
    <xf numFmtId="0" fontId="98" fillId="9" borderId="43" xfId="0" applyFont="1" applyFill="1" applyBorder="1" applyAlignment="1" applyProtection="1">
      <alignment horizontal="center" vertical="center"/>
      <protection hidden="1"/>
    </xf>
    <xf numFmtId="0" fontId="5" fillId="11" borderId="20" xfId="0" applyFont="1" applyFill="1" applyBorder="1" applyProtection="1">
      <protection hidden="1"/>
    </xf>
    <xf numFmtId="1" fontId="5" fillId="11" borderId="22" xfId="0" applyNumberFormat="1" applyFont="1" applyFill="1" applyBorder="1" applyAlignment="1" applyProtection="1">
      <alignment horizontal="center"/>
      <protection hidden="1"/>
    </xf>
    <xf numFmtId="0" fontId="5" fillId="2" borderId="20" xfId="0" applyFont="1" applyFill="1" applyBorder="1" applyAlignment="1" applyProtection="1">
      <alignment horizontal="center"/>
      <protection hidden="1"/>
    </xf>
    <xf numFmtId="0" fontId="5" fillId="2" borderId="22" xfId="0" applyFont="1" applyFill="1" applyBorder="1" applyAlignment="1" applyProtection="1">
      <alignment horizontal="center"/>
      <protection hidden="1"/>
    </xf>
    <xf numFmtId="1" fontId="5" fillId="2" borderId="22" xfId="0" applyNumberFormat="1" applyFont="1" applyFill="1" applyBorder="1" applyAlignment="1" applyProtection="1">
      <alignment horizontal="center"/>
      <protection hidden="1"/>
    </xf>
    <xf numFmtId="1" fontId="5" fillId="11" borderId="22" xfId="0" applyNumberFormat="1" applyFont="1" applyFill="1" applyBorder="1" applyAlignment="1">
      <alignment horizontal="center"/>
    </xf>
    <xf numFmtId="1" fontId="5" fillId="2" borderId="22" xfId="0" applyNumberFormat="1" applyFont="1" applyFill="1" applyBorder="1" applyAlignment="1">
      <alignment horizontal="center"/>
    </xf>
    <xf numFmtId="0" fontId="84" fillId="59" borderId="39" xfId="0" applyFont="1" applyFill="1" applyBorder="1" applyAlignment="1" applyProtection="1">
      <alignment horizontal="center" vertical="center"/>
      <protection hidden="1"/>
    </xf>
    <xf numFmtId="0" fontId="98" fillId="46" borderId="0" xfId="0" applyFont="1" applyFill="1" applyBorder="1" applyAlignment="1" applyProtection="1">
      <alignment horizontal="center" vertical="center"/>
      <protection hidden="1"/>
    </xf>
    <xf numFmtId="0" fontId="112" fillId="46" borderId="40" xfId="0" applyFont="1" applyFill="1" applyBorder="1" applyAlignment="1" applyProtection="1">
      <alignment horizontal="center" vertical="center"/>
      <protection hidden="1"/>
    </xf>
    <xf numFmtId="0" fontId="84" fillId="37" borderId="0" xfId="0" applyFont="1" applyFill="1" applyBorder="1" applyAlignment="1" applyProtection="1">
      <alignment horizontal="center" vertical="center"/>
      <protection hidden="1"/>
    </xf>
    <xf numFmtId="0" fontId="5" fillId="49" borderId="39" xfId="0" applyFont="1" applyFill="1" applyBorder="1" applyAlignment="1" applyProtection="1">
      <alignment horizontal="center" vertical="center"/>
      <protection hidden="1"/>
    </xf>
    <xf numFmtId="0" fontId="5" fillId="11" borderId="20" xfId="0" applyFont="1" applyFill="1" applyBorder="1" applyAlignment="1" applyProtection="1">
      <alignment horizontal="left"/>
      <protection hidden="1"/>
    </xf>
    <xf numFmtId="0" fontId="5" fillId="11" borderId="21" xfId="0" applyFont="1" applyFill="1" applyBorder="1" applyAlignment="1">
      <alignment horizontal="left"/>
    </xf>
    <xf numFmtId="1" fontId="5" fillId="27" borderId="22" xfId="0" applyNumberFormat="1" applyFont="1" applyFill="1" applyBorder="1" applyAlignment="1" applyProtection="1">
      <alignment horizontal="center"/>
      <protection hidden="1"/>
    </xf>
    <xf numFmtId="1" fontId="5" fillId="10" borderId="22" xfId="0" applyNumberFormat="1" applyFont="1" applyFill="1" applyBorder="1" applyAlignment="1" applyProtection="1">
      <alignment horizontal="center"/>
      <protection hidden="1"/>
    </xf>
    <xf numFmtId="1" fontId="5" fillId="10" borderId="27" xfId="0" applyNumberFormat="1" applyFont="1" applyFill="1" applyBorder="1" applyAlignment="1" applyProtection="1">
      <alignment horizontal="right"/>
      <protection hidden="1"/>
    </xf>
    <xf numFmtId="0" fontId="5" fillId="17" borderId="10" xfId="0" applyFont="1" applyFill="1" applyBorder="1" applyAlignment="1" applyProtection="1">
      <alignment horizontal="center"/>
      <protection hidden="1"/>
    </xf>
    <xf numFmtId="0" fontId="29" fillId="50" borderId="9" xfId="0" applyFont="1" applyFill="1" applyBorder="1" applyAlignment="1" applyProtection="1">
      <alignment horizontal="center"/>
      <protection hidden="1"/>
    </xf>
    <xf numFmtId="0" fontId="29" fillId="31" borderId="24" xfId="0" applyFont="1" applyFill="1" applyBorder="1" applyAlignment="1" applyProtection="1">
      <alignment horizontal="center"/>
      <protection hidden="1"/>
    </xf>
    <xf numFmtId="0" fontId="84" fillId="40" borderId="24" xfId="0" applyFont="1" applyFill="1" applyBorder="1" applyAlignment="1" applyProtection="1">
      <alignment horizontal="center"/>
      <protection hidden="1"/>
    </xf>
    <xf numFmtId="0" fontId="84" fillId="40" borderId="36" xfId="0" applyFont="1" applyFill="1" applyBorder="1" applyAlignment="1" applyProtection="1">
      <alignment horizontal="center"/>
      <protection hidden="1"/>
    </xf>
    <xf numFmtId="0" fontId="84" fillId="37" borderId="24" xfId="0" applyFont="1" applyFill="1" applyBorder="1" applyAlignment="1" applyProtection="1">
      <alignment horizontal="center"/>
      <protection hidden="1"/>
    </xf>
    <xf numFmtId="0" fontId="64" fillId="16" borderId="23" xfId="0" applyFont="1" applyFill="1" applyBorder="1" applyAlignment="1" applyProtection="1">
      <alignment horizontal="center"/>
      <protection hidden="1"/>
    </xf>
    <xf numFmtId="0" fontId="29" fillId="4" borderId="10" xfId="0" applyFont="1" applyFill="1" applyBorder="1" applyAlignment="1" applyProtection="1">
      <alignment horizontal="center"/>
      <protection hidden="1"/>
    </xf>
    <xf numFmtId="0" fontId="5" fillId="0" borderId="23" xfId="0" applyFont="1" applyBorder="1" applyProtection="1">
      <protection hidden="1"/>
    </xf>
    <xf numFmtId="0" fontId="5" fillId="0" borderId="4" xfId="0" applyFont="1" applyBorder="1" applyAlignment="1" applyProtection="1">
      <alignment horizontal="left"/>
      <protection hidden="1"/>
    </xf>
    <xf numFmtId="0" fontId="84" fillId="40" borderId="13" xfId="0" applyFont="1" applyFill="1" applyBorder="1" applyAlignment="1" applyProtection="1">
      <alignment horizontal="center"/>
      <protection hidden="1"/>
    </xf>
    <xf numFmtId="1" fontId="84" fillId="16" borderId="9" xfId="0" applyNumberFormat="1" applyFont="1" applyFill="1" applyBorder="1" applyAlignment="1" applyProtection="1">
      <alignment horizontal="center"/>
      <protection hidden="1"/>
    </xf>
    <xf numFmtId="1" fontId="84" fillId="16" borderId="4" xfId="0" applyNumberFormat="1" applyFont="1" applyFill="1" applyBorder="1" applyAlignment="1" applyProtection="1">
      <alignment horizontal="center"/>
      <protection hidden="1"/>
    </xf>
    <xf numFmtId="0" fontId="5" fillId="51" borderId="13" xfId="0" applyFont="1" applyFill="1" applyBorder="1" applyAlignment="1" applyProtection="1">
      <alignment horizontal="center"/>
      <protection hidden="1"/>
    </xf>
    <xf numFmtId="0" fontId="84" fillId="37" borderId="13" xfId="0" applyFont="1" applyFill="1" applyBorder="1" applyAlignment="1" applyProtection="1">
      <alignment horizontal="center"/>
      <protection hidden="1"/>
    </xf>
    <xf numFmtId="1" fontId="98" fillId="47" borderId="10" xfId="0" applyNumberFormat="1" applyFont="1" applyFill="1" applyBorder="1" applyAlignment="1" applyProtection="1">
      <alignment horizontal="center"/>
      <protection hidden="1"/>
    </xf>
    <xf numFmtId="168" fontId="5" fillId="0" borderId="8" xfId="0" applyNumberFormat="1" applyFont="1" applyBorder="1" applyAlignment="1" applyProtection="1">
      <alignment horizontal="left"/>
      <protection hidden="1"/>
    </xf>
    <xf numFmtId="0" fontId="5" fillId="0" borderId="7" xfId="0" applyFont="1" applyBorder="1" applyAlignment="1">
      <alignment horizontal="right"/>
    </xf>
    <xf numFmtId="1" fontId="5" fillId="0" borderId="8" xfId="0" applyNumberFormat="1" applyFont="1" applyBorder="1" applyAlignment="1" applyProtection="1">
      <alignment horizontal="center"/>
      <protection hidden="1"/>
    </xf>
    <xf numFmtId="0" fontId="5" fillId="0" borderId="7" xfId="0" applyFont="1" applyBorder="1" applyAlignment="1">
      <alignment horizontal="center"/>
    </xf>
    <xf numFmtId="1" fontId="5" fillId="0" borderId="8" xfId="0" applyNumberFormat="1" applyFont="1" applyBorder="1" applyAlignment="1" applyProtection="1">
      <alignment horizontal="right"/>
      <protection hidden="1"/>
    </xf>
    <xf numFmtId="0" fontId="5" fillId="46" borderId="0" xfId="0" applyFont="1" applyFill="1"/>
    <xf numFmtId="0" fontId="111" fillId="15" borderId="0" xfId="0" applyFont="1" applyFill="1" applyProtection="1">
      <protection hidden="1"/>
    </xf>
    <xf numFmtId="0" fontId="5" fillId="11" borderId="12" xfId="0" applyFont="1" applyFill="1" applyBorder="1" applyAlignment="1" applyProtection="1">
      <alignment horizontal="center"/>
      <protection hidden="1"/>
    </xf>
    <xf numFmtId="0" fontId="38" fillId="2" borderId="18" xfId="0" applyFont="1" applyFill="1" applyBorder="1" applyAlignment="1" applyProtection="1">
      <alignment horizontal="center"/>
      <protection hidden="1"/>
    </xf>
    <xf numFmtId="0" fontId="38" fillId="2" borderId="12"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0" fontId="84" fillId="61" borderId="24" xfId="0" applyFont="1" applyFill="1" applyBorder="1" applyAlignment="1" applyProtection="1">
      <alignment horizontal="center"/>
      <protection hidden="1"/>
    </xf>
    <xf numFmtId="0" fontId="92" fillId="0" borderId="0" xfId="0" applyFont="1" applyAlignment="1" applyProtection="1">
      <alignment horizontal="center"/>
      <protection hidden="1"/>
    </xf>
    <xf numFmtId="0" fontId="31" fillId="0" borderId="0" xfId="0" applyFont="1" applyAlignment="1" applyProtection="1">
      <alignment horizontal="center"/>
      <protection hidden="1"/>
    </xf>
    <xf numFmtId="0" fontId="116" fillId="0" borderId="0" xfId="0" applyFont="1" applyAlignment="1" applyProtection="1">
      <alignment horizontal="center"/>
      <protection hidden="1"/>
    </xf>
    <xf numFmtId="0" fontId="27" fillId="42" borderId="13" xfId="0" applyFont="1" applyFill="1" applyBorder="1" applyAlignment="1" applyProtection="1">
      <alignment horizontal="center"/>
      <protection hidden="1"/>
    </xf>
    <xf numFmtId="0" fontId="27" fillId="11" borderId="65" xfId="0" applyFont="1" applyFill="1" applyBorder="1" applyAlignment="1" applyProtection="1">
      <alignment horizontal="center"/>
      <protection hidden="1"/>
    </xf>
    <xf numFmtId="0" fontId="115" fillId="58" borderId="65" xfId="0" applyFont="1" applyFill="1" applyBorder="1" applyAlignment="1" applyProtection="1">
      <alignment horizontal="center"/>
      <protection hidden="1"/>
    </xf>
    <xf numFmtId="0" fontId="31" fillId="58" borderId="65" xfId="0" applyFont="1" applyFill="1" applyBorder="1" applyAlignment="1" applyProtection="1">
      <alignment horizontal="center"/>
      <protection hidden="1"/>
    </xf>
    <xf numFmtId="0" fontId="27" fillId="42" borderId="65" xfId="0" applyFont="1" applyFill="1" applyBorder="1" applyAlignment="1" applyProtection="1">
      <alignment horizontal="center"/>
      <protection locked="0"/>
    </xf>
    <xf numFmtId="0" fontId="27" fillId="57" borderId="65" xfId="0" applyFont="1" applyFill="1" applyBorder="1" applyAlignment="1" applyProtection="1">
      <alignment horizontal="center"/>
      <protection locked="0"/>
    </xf>
    <xf numFmtId="0" fontId="115" fillId="9" borderId="65" xfId="0" applyFont="1" applyFill="1" applyBorder="1" applyAlignment="1" applyProtection="1">
      <alignment horizontal="center"/>
      <protection hidden="1"/>
    </xf>
    <xf numFmtId="0" fontId="31" fillId="9" borderId="65" xfId="0" applyFont="1" applyFill="1" applyBorder="1" applyAlignment="1" applyProtection="1">
      <alignment horizontal="center"/>
      <protection hidden="1"/>
    </xf>
    <xf numFmtId="0" fontId="27" fillId="11" borderId="64" xfId="0" applyFont="1" applyFill="1" applyBorder="1" applyAlignment="1" applyProtection="1">
      <alignment horizontal="center"/>
      <protection hidden="1"/>
    </xf>
    <xf numFmtId="0" fontId="115" fillId="58" borderId="64" xfId="0" applyFont="1" applyFill="1" applyBorder="1" applyAlignment="1" applyProtection="1">
      <alignment horizontal="center"/>
      <protection hidden="1"/>
    </xf>
    <xf numFmtId="0" fontId="31" fillId="58" borderId="64" xfId="0" applyFont="1" applyFill="1" applyBorder="1" applyAlignment="1" applyProtection="1">
      <alignment horizontal="center"/>
      <protection hidden="1"/>
    </xf>
    <xf numFmtId="0" fontId="27" fillId="42" borderId="64" xfId="0" applyFont="1" applyFill="1" applyBorder="1" applyAlignment="1" applyProtection="1">
      <alignment horizontal="center"/>
      <protection locked="0"/>
    </xf>
    <xf numFmtId="0" fontId="27" fillId="57" borderId="64" xfId="0" applyFont="1" applyFill="1" applyBorder="1" applyAlignment="1" applyProtection="1">
      <alignment horizontal="center"/>
      <protection locked="0"/>
    </xf>
    <xf numFmtId="0" fontId="115" fillId="9" borderId="64" xfId="0" applyFont="1" applyFill="1" applyBorder="1" applyAlignment="1" applyProtection="1">
      <alignment horizontal="center"/>
      <protection hidden="1"/>
    </xf>
    <xf numFmtId="0" fontId="31" fillId="9" borderId="64" xfId="0" applyFont="1" applyFill="1" applyBorder="1" applyAlignment="1" applyProtection="1">
      <alignment horizontal="center"/>
      <protection hidden="1"/>
    </xf>
    <xf numFmtId="0" fontId="115" fillId="46" borderId="64" xfId="0" applyFont="1" applyFill="1" applyBorder="1" applyAlignment="1" applyProtection="1">
      <alignment horizontal="center"/>
      <protection hidden="1"/>
    </xf>
    <xf numFmtId="0" fontId="27" fillId="46" borderId="64" xfId="0" applyFont="1" applyFill="1" applyBorder="1" applyAlignment="1" applyProtection="1">
      <alignment horizontal="center"/>
      <protection hidden="1"/>
    </xf>
    <xf numFmtId="0" fontId="27" fillId="11" borderId="67" xfId="0" applyFont="1" applyFill="1" applyBorder="1" applyAlignment="1" applyProtection="1">
      <alignment horizontal="center"/>
      <protection hidden="1"/>
    </xf>
    <xf numFmtId="0" fontId="115" fillId="58" borderId="67" xfId="0" applyFont="1" applyFill="1" applyBorder="1" applyAlignment="1" applyProtection="1">
      <alignment horizontal="center"/>
      <protection hidden="1"/>
    </xf>
    <xf numFmtId="0" fontId="27" fillId="42" borderId="66" xfId="0" applyFont="1" applyFill="1" applyBorder="1" applyAlignment="1" applyProtection="1">
      <alignment horizontal="center"/>
      <protection locked="0"/>
    </xf>
    <xf numFmtId="0" fontId="27" fillId="57" borderId="67" xfId="0" applyFont="1" applyFill="1" applyBorder="1" applyAlignment="1" applyProtection="1">
      <alignment horizontal="center"/>
      <protection locked="0"/>
    </xf>
    <xf numFmtId="0" fontId="27" fillId="3" borderId="13" xfId="0" applyFont="1" applyFill="1" applyBorder="1" applyAlignment="1" applyProtection="1">
      <alignment horizontal="center"/>
      <protection hidden="1"/>
    </xf>
    <xf numFmtId="0" fontId="27" fillId="11" borderId="66" xfId="0" applyFont="1" applyFill="1" applyBorder="1" applyAlignment="1" applyProtection="1">
      <alignment horizontal="center"/>
      <protection hidden="1"/>
    </xf>
    <xf numFmtId="0" fontId="115" fillId="9" borderId="66" xfId="0" applyFont="1" applyFill="1" applyBorder="1" applyAlignment="1" applyProtection="1">
      <alignment horizontal="center"/>
      <protection hidden="1"/>
    </xf>
    <xf numFmtId="0" fontId="27" fillId="42" borderId="68" xfId="0" applyFont="1" applyFill="1" applyBorder="1" applyAlignment="1" applyProtection="1">
      <alignment horizontal="center"/>
      <protection locked="0"/>
    </xf>
    <xf numFmtId="0" fontId="115" fillId="58" borderId="66" xfId="0" applyFont="1" applyFill="1" applyBorder="1" applyAlignment="1" applyProtection="1">
      <alignment horizontal="center"/>
      <protection hidden="1"/>
    </xf>
    <xf numFmtId="0" fontId="27" fillId="57" borderId="66" xfId="0" applyFont="1" applyFill="1" applyBorder="1" applyAlignment="1" applyProtection="1">
      <alignment horizontal="center"/>
      <protection locked="0"/>
    </xf>
    <xf numFmtId="0" fontId="27" fillId="11" borderId="68" xfId="0" applyFont="1" applyFill="1" applyBorder="1" applyAlignment="1" applyProtection="1">
      <alignment horizontal="center"/>
      <protection hidden="1"/>
    </xf>
    <xf numFmtId="0" fontId="115" fillId="58" borderId="68" xfId="0" applyFont="1" applyFill="1" applyBorder="1" applyAlignment="1" applyProtection="1">
      <alignment horizontal="center"/>
      <protection hidden="1"/>
    </xf>
    <xf numFmtId="0" fontId="31" fillId="58" borderId="68" xfId="0" applyFont="1" applyFill="1" applyBorder="1" applyAlignment="1" applyProtection="1">
      <alignment horizontal="center"/>
      <protection hidden="1"/>
    </xf>
    <xf numFmtId="0" fontId="115" fillId="9" borderId="68" xfId="0" applyFont="1" applyFill="1" applyBorder="1" applyAlignment="1" applyProtection="1">
      <alignment horizontal="center"/>
      <protection hidden="1"/>
    </xf>
    <xf numFmtId="0" fontId="31" fillId="9" borderId="68" xfId="0" applyFont="1" applyFill="1" applyBorder="1" applyAlignment="1" applyProtection="1">
      <alignment horizontal="center"/>
      <protection hidden="1"/>
    </xf>
    <xf numFmtId="0" fontId="115" fillId="9" borderId="67" xfId="0" applyFont="1" applyFill="1" applyBorder="1" applyAlignment="1" applyProtection="1">
      <alignment horizontal="center"/>
      <protection hidden="1"/>
    </xf>
    <xf numFmtId="0" fontId="115" fillId="11" borderId="65" xfId="0" applyFont="1" applyFill="1" applyBorder="1" applyAlignment="1" applyProtection="1">
      <alignment horizontal="center"/>
      <protection hidden="1"/>
    </xf>
    <xf numFmtId="0" fontId="31" fillId="11" borderId="65" xfId="0" applyFont="1" applyFill="1" applyBorder="1" applyAlignment="1" applyProtection="1">
      <alignment horizontal="center"/>
      <protection hidden="1"/>
    </xf>
    <xf numFmtId="0" fontId="115" fillId="10" borderId="65" xfId="0" applyFont="1" applyFill="1" applyBorder="1" applyAlignment="1" applyProtection="1">
      <alignment horizontal="center"/>
      <protection hidden="1"/>
    </xf>
    <xf numFmtId="0" fontId="31" fillId="10" borderId="65" xfId="0" applyFont="1" applyFill="1" applyBorder="1" applyAlignment="1" applyProtection="1">
      <alignment horizontal="center"/>
      <protection hidden="1"/>
    </xf>
    <xf numFmtId="0" fontId="115" fillId="11" borderId="64" xfId="0" applyFont="1" applyFill="1" applyBorder="1" applyAlignment="1" applyProtection="1">
      <alignment horizontal="center"/>
      <protection hidden="1"/>
    </xf>
    <xf numFmtId="0" fontId="31" fillId="11" borderId="64" xfId="0" applyFont="1" applyFill="1" applyBorder="1" applyAlignment="1" applyProtection="1">
      <alignment horizontal="center"/>
      <protection hidden="1"/>
    </xf>
    <xf numFmtId="0" fontId="115" fillId="10" borderId="64" xfId="0" applyFont="1" applyFill="1" applyBorder="1" applyAlignment="1" applyProtection="1">
      <alignment horizontal="center"/>
      <protection hidden="1"/>
    </xf>
    <xf numFmtId="0" fontId="31" fillId="10" borderId="64" xfId="0" applyFont="1" applyFill="1" applyBorder="1" applyAlignment="1" applyProtection="1">
      <alignment horizontal="center"/>
      <protection hidden="1"/>
    </xf>
    <xf numFmtId="0" fontId="115" fillId="11" borderId="66" xfId="0" applyFont="1" applyFill="1" applyBorder="1" applyAlignment="1" applyProtection="1">
      <alignment horizontal="center"/>
      <protection hidden="1"/>
    </xf>
    <xf numFmtId="0" fontId="115" fillId="10" borderId="66" xfId="0" applyFont="1" applyFill="1" applyBorder="1" applyAlignment="1" applyProtection="1">
      <alignment horizontal="center"/>
      <protection hidden="1"/>
    </xf>
    <xf numFmtId="0" fontId="102" fillId="60" borderId="64" xfId="0" applyFont="1" applyFill="1" applyBorder="1" applyAlignment="1" applyProtection="1">
      <alignment horizontal="center"/>
      <protection hidden="1"/>
    </xf>
    <xf numFmtId="0" fontId="115" fillId="11" borderId="68" xfId="0" applyFont="1" applyFill="1" applyBorder="1" applyAlignment="1" applyProtection="1">
      <alignment horizontal="center"/>
      <protection hidden="1"/>
    </xf>
    <xf numFmtId="0" fontId="31" fillId="11" borderId="68" xfId="0" applyFont="1" applyFill="1" applyBorder="1" applyAlignment="1" applyProtection="1">
      <alignment horizontal="center"/>
      <protection hidden="1"/>
    </xf>
    <xf numFmtId="0" fontId="115" fillId="10" borderId="68" xfId="0" applyFont="1" applyFill="1" applyBorder="1" applyAlignment="1" applyProtection="1">
      <alignment horizontal="center"/>
      <protection hidden="1"/>
    </xf>
    <xf numFmtId="0" fontId="31" fillId="10" borderId="68" xfId="0" applyFont="1" applyFill="1" applyBorder="1" applyAlignment="1" applyProtection="1">
      <alignment horizontal="center"/>
      <protection hidden="1"/>
    </xf>
    <xf numFmtId="0" fontId="27" fillId="0" borderId="0" xfId="0" applyFont="1" applyFill="1" applyBorder="1" applyAlignment="1" applyProtection="1">
      <alignment horizontal="center"/>
      <protection hidden="1"/>
    </xf>
    <xf numFmtId="0" fontId="27" fillId="53" borderId="0" xfId="0" applyFont="1" applyFill="1" applyBorder="1" applyAlignment="1" applyProtection="1">
      <alignment horizontal="center"/>
      <protection hidden="1"/>
    </xf>
    <xf numFmtId="0" fontId="27" fillId="0" borderId="0" xfId="0" applyFont="1" applyFill="1" applyBorder="1" applyAlignment="1" applyProtection="1">
      <alignment horizontal="left"/>
      <protection hidden="1"/>
    </xf>
    <xf numFmtId="0" fontId="115" fillId="0" borderId="0" xfId="0" applyFont="1" applyFill="1" applyBorder="1" applyAlignment="1" applyProtection="1">
      <alignment horizontal="center"/>
      <protection hidden="1"/>
    </xf>
    <xf numFmtId="0" fontId="27" fillId="53" borderId="13" xfId="0" applyFont="1" applyFill="1" applyBorder="1" applyAlignment="1" applyProtection="1">
      <alignment horizontal="center"/>
      <protection hidden="1"/>
    </xf>
    <xf numFmtId="0" fontId="27" fillId="42" borderId="0" xfId="0" applyFont="1" applyFill="1" applyBorder="1" applyAlignment="1" applyProtection="1">
      <alignment horizontal="center"/>
      <protection hidden="1"/>
    </xf>
    <xf numFmtId="0" fontId="27" fillId="47" borderId="0" xfId="0" applyFont="1" applyFill="1" applyAlignment="1" applyProtection="1">
      <alignment horizontal="center"/>
      <protection hidden="1"/>
    </xf>
    <xf numFmtId="0" fontId="92" fillId="0" borderId="0" xfId="0" applyFont="1" applyFill="1" applyAlignment="1" applyProtection="1">
      <alignment horizontal="center"/>
      <protection hidden="1"/>
    </xf>
    <xf numFmtId="0" fontId="62" fillId="4" borderId="0" xfId="0" applyFont="1" applyFill="1" applyBorder="1" applyAlignment="1" applyProtection="1">
      <alignment horizontal="center"/>
      <protection hidden="1"/>
    </xf>
    <xf numFmtId="0" fontId="92" fillId="38" borderId="0" xfId="0" applyFont="1" applyFill="1" applyBorder="1" applyAlignment="1" applyProtection="1">
      <alignment horizontal="center"/>
      <protection hidden="1"/>
    </xf>
    <xf numFmtId="0" fontId="115" fillId="0" borderId="0" xfId="0" applyFont="1" applyFill="1" applyBorder="1" applyAlignment="1" applyProtection="1">
      <alignment horizontal="left"/>
      <protection hidden="1"/>
    </xf>
    <xf numFmtId="0" fontId="92" fillId="37" borderId="0" xfId="0" applyFont="1" applyFill="1" applyAlignment="1" applyProtection="1">
      <alignment horizontal="center"/>
      <protection hidden="1"/>
    </xf>
    <xf numFmtId="0" fontId="62" fillId="6" borderId="0" xfId="0" applyFont="1" applyFill="1" applyAlignment="1" applyProtection="1">
      <alignment horizontal="center"/>
      <protection hidden="1"/>
    </xf>
    <xf numFmtId="1" fontId="92" fillId="16" borderId="0" xfId="0" applyNumberFormat="1" applyFont="1" applyFill="1" applyAlignment="1" applyProtection="1">
      <alignment horizontal="center"/>
      <protection hidden="1"/>
    </xf>
    <xf numFmtId="1" fontId="116" fillId="16" borderId="0" xfId="0" applyNumberFormat="1" applyFont="1" applyFill="1" applyAlignment="1" applyProtection="1">
      <alignment horizontal="center"/>
      <protection hidden="1"/>
    </xf>
    <xf numFmtId="0" fontId="92" fillId="37" borderId="64" xfId="0" applyFont="1" applyFill="1" applyBorder="1" applyAlignment="1" applyProtection="1">
      <alignment horizontal="center"/>
      <protection hidden="1"/>
    </xf>
    <xf numFmtId="0" fontId="92" fillId="40" borderId="0" xfId="0" applyFont="1" applyFill="1" applyAlignment="1" applyProtection="1">
      <alignment horizontal="center"/>
      <protection hidden="1"/>
    </xf>
    <xf numFmtId="15" fontId="100" fillId="0" borderId="0" xfId="0" applyNumberFormat="1" applyFont="1" applyAlignment="1" applyProtection="1">
      <alignment horizontal="center"/>
      <protection hidden="1"/>
    </xf>
    <xf numFmtId="1" fontId="84" fillId="16" borderId="0" xfId="0" applyNumberFormat="1" applyFont="1" applyFill="1" applyAlignment="1" applyProtection="1">
      <alignment horizontal="center"/>
      <protection hidden="1"/>
    </xf>
    <xf numFmtId="0" fontId="5" fillId="47" borderId="0" xfId="0" applyFont="1" applyFill="1" applyAlignment="1" applyProtection="1">
      <alignment horizontal="center"/>
      <protection hidden="1"/>
    </xf>
    <xf numFmtId="0" fontId="33" fillId="3" borderId="13" xfId="0" applyFont="1" applyFill="1" applyBorder="1" applyAlignment="1" applyProtection="1">
      <alignment horizontal="center"/>
      <protection hidden="1"/>
    </xf>
    <xf numFmtId="0" fontId="33" fillId="0" borderId="0" xfId="0" applyFont="1" applyFill="1" applyAlignment="1" applyProtection="1">
      <alignment horizontal="center"/>
      <protection hidden="1"/>
    </xf>
    <xf numFmtId="1" fontId="86" fillId="16" borderId="0" xfId="0" applyNumberFormat="1" applyFont="1" applyFill="1" applyAlignment="1" applyProtection="1">
      <alignment horizontal="center"/>
      <protection hidden="1"/>
    </xf>
    <xf numFmtId="0" fontId="86" fillId="37" borderId="64" xfId="0" applyFont="1" applyFill="1" applyBorder="1" applyAlignment="1" applyProtection="1">
      <alignment horizontal="center"/>
      <protection hidden="1"/>
    </xf>
    <xf numFmtId="15" fontId="33" fillId="0" borderId="0" xfId="0" applyNumberFormat="1" applyFont="1" applyAlignment="1" applyProtection="1">
      <alignment horizontal="center"/>
      <protection hidden="1"/>
    </xf>
    <xf numFmtId="0" fontId="33" fillId="47" borderId="0" xfId="0" applyFont="1" applyFill="1" applyAlignment="1" applyProtection="1">
      <alignment horizontal="center"/>
      <protection hidden="1"/>
    </xf>
    <xf numFmtId="0" fontId="33" fillId="0" borderId="0" xfId="5" applyFont="1" applyProtection="1">
      <protection hidden="1"/>
    </xf>
    <xf numFmtId="0" fontId="88" fillId="0" borderId="0" xfId="10" applyFont="1"/>
    <xf numFmtId="0" fontId="88" fillId="52" borderId="0" xfId="10" applyFont="1" applyFill="1"/>
    <xf numFmtId="0" fontId="88" fillId="44" borderId="0" xfId="10" applyFont="1" applyFill="1"/>
    <xf numFmtId="0" fontId="87" fillId="35" borderId="0" xfId="10" applyFont="1" applyFill="1"/>
    <xf numFmtId="0" fontId="88" fillId="47" borderId="0" xfId="10" applyFont="1" applyFill="1"/>
    <xf numFmtId="0" fontId="87" fillId="50" borderId="0" xfId="10" applyFont="1" applyFill="1"/>
    <xf numFmtId="0" fontId="33" fillId="52" borderId="0" xfId="0" applyFont="1" applyFill="1" applyAlignment="1" applyProtection="1">
      <alignment horizontal="center"/>
      <protection hidden="1"/>
    </xf>
    <xf numFmtId="0" fontId="39" fillId="0" borderId="0" xfId="0" applyFont="1" applyAlignment="1" applyProtection="1">
      <alignment horizontal="center"/>
      <protection hidden="1"/>
    </xf>
    <xf numFmtId="0" fontId="39" fillId="0" borderId="0" xfId="0" applyFont="1" applyBorder="1" applyAlignment="1" applyProtection="1">
      <alignment horizontal="center"/>
      <protection hidden="1"/>
    </xf>
    <xf numFmtId="2" fontId="43" fillId="0" borderId="0" xfId="0" applyNumberFormat="1" applyFont="1" applyBorder="1" applyAlignment="1" applyProtection="1">
      <alignment horizontal="center"/>
      <protection hidden="1"/>
    </xf>
    <xf numFmtId="0" fontId="33" fillId="0" borderId="0" xfId="0" applyFont="1" applyBorder="1" applyAlignment="1" applyProtection="1">
      <alignment horizontal="center"/>
      <protection hidden="1"/>
    </xf>
    <xf numFmtId="0" fontId="16" fillId="0" borderId="0" xfId="0" applyFont="1" applyAlignment="1" applyProtection="1">
      <alignment horizontal="center"/>
      <protection hidden="1"/>
    </xf>
    <xf numFmtId="0" fontId="102" fillId="47" borderId="19" xfId="0" applyFont="1" applyFill="1" applyBorder="1" applyAlignment="1">
      <alignment horizontal="center"/>
    </xf>
    <xf numFmtId="0" fontId="27" fillId="0" borderId="33" xfId="0" applyFont="1" applyBorder="1"/>
    <xf numFmtId="0" fontId="92" fillId="37" borderId="35" xfId="0" applyFont="1" applyFill="1" applyBorder="1" applyAlignment="1">
      <alignment horizontal="center"/>
    </xf>
    <xf numFmtId="0" fontId="105" fillId="48" borderId="35" xfId="0" applyFont="1" applyFill="1" applyBorder="1" applyAlignment="1">
      <alignment horizontal="center"/>
    </xf>
    <xf numFmtId="0" fontId="105" fillId="35" borderId="89" xfId="0" applyFont="1" applyFill="1" applyBorder="1" applyAlignment="1">
      <alignment horizontal="center"/>
    </xf>
    <xf numFmtId="0" fontId="118" fillId="4" borderId="19" xfId="0" applyFont="1" applyFill="1" applyBorder="1" applyAlignment="1">
      <alignment horizontal="center"/>
    </xf>
    <xf numFmtId="0" fontId="80" fillId="47" borderId="28" xfId="0" applyFont="1" applyFill="1" applyBorder="1"/>
    <xf numFmtId="0" fontId="27" fillId="47" borderId="28" xfId="0" applyFont="1" applyFill="1" applyBorder="1"/>
    <xf numFmtId="1" fontId="27" fillId="47" borderId="28" xfId="0" applyNumberFormat="1" applyFont="1" applyFill="1" applyBorder="1" applyAlignment="1">
      <alignment horizontal="center"/>
    </xf>
    <xf numFmtId="0" fontId="27" fillId="30" borderId="19" xfId="0" applyFont="1" applyFill="1" applyBorder="1" applyAlignment="1">
      <alignment horizontal="center"/>
    </xf>
    <xf numFmtId="168" fontId="80" fillId="0" borderId="33" xfId="0" applyNumberFormat="1" applyFont="1" applyBorder="1" applyAlignment="1" applyProtection="1">
      <alignment horizontal="center"/>
      <protection hidden="1"/>
    </xf>
    <xf numFmtId="0" fontId="27" fillId="30" borderId="19" xfId="0" applyFont="1" applyFill="1" applyBorder="1"/>
    <xf numFmtId="1" fontId="92" fillId="40" borderId="19" xfId="0" applyNumberFormat="1" applyFont="1" applyFill="1" applyBorder="1" applyAlignment="1">
      <alignment horizontal="center"/>
    </xf>
    <xf numFmtId="0" fontId="92" fillId="40" borderId="0" xfId="0" applyFont="1" applyFill="1" applyBorder="1"/>
    <xf numFmtId="0" fontId="27" fillId="47" borderId="73" xfId="0" applyFont="1" applyFill="1" applyBorder="1"/>
    <xf numFmtId="0" fontId="92" fillId="40" borderId="19" xfId="0" applyFont="1" applyFill="1" applyBorder="1" applyAlignment="1">
      <alignment horizontal="center"/>
    </xf>
    <xf numFmtId="0" fontId="92" fillId="37" borderId="19" xfId="0" applyFont="1" applyFill="1" applyBorder="1" applyAlignment="1">
      <alignment horizontal="center"/>
    </xf>
    <xf numFmtId="0" fontId="27" fillId="30" borderId="73" xfId="0" applyFont="1" applyFill="1" applyBorder="1" applyAlignment="1">
      <alignment horizontal="center"/>
    </xf>
    <xf numFmtId="0" fontId="62" fillId="4" borderId="19" xfId="0" applyFont="1" applyFill="1" applyBorder="1" applyAlignment="1">
      <alignment horizontal="center"/>
    </xf>
    <xf numFmtId="0" fontId="62" fillId="31" borderId="28" xfId="0" applyFont="1" applyFill="1" applyBorder="1" applyAlignment="1">
      <alignment horizontal="center"/>
    </xf>
    <xf numFmtId="0" fontId="62" fillId="5" borderId="28" xfId="0" applyFont="1" applyFill="1" applyBorder="1" applyAlignment="1">
      <alignment horizontal="center"/>
    </xf>
    <xf numFmtId="0" fontId="62" fillId="4" borderId="90" xfId="0" applyFont="1" applyFill="1" applyBorder="1" applyAlignment="1">
      <alignment horizontal="center"/>
    </xf>
    <xf numFmtId="0" fontId="92" fillId="16" borderId="19" xfId="0" applyFont="1" applyFill="1" applyBorder="1" applyAlignment="1">
      <alignment horizontal="center"/>
    </xf>
    <xf numFmtId="0" fontId="116" fillId="16" borderId="0" xfId="0" applyFont="1" applyFill="1" applyBorder="1" applyAlignment="1">
      <alignment horizontal="center"/>
    </xf>
    <xf numFmtId="1" fontId="28" fillId="4" borderId="33" xfId="0" applyNumberFormat="1" applyFont="1" applyFill="1" applyBorder="1" applyAlignment="1">
      <alignment horizontal="center"/>
    </xf>
    <xf numFmtId="0" fontId="92" fillId="38" borderId="90" xfId="0" applyFont="1" applyFill="1" applyBorder="1" applyAlignment="1">
      <alignment horizontal="center"/>
    </xf>
    <xf numFmtId="0" fontId="27" fillId="0" borderId="32" xfId="0" applyFont="1" applyBorder="1"/>
    <xf numFmtId="0" fontId="92" fillId="48" borderId="19" xfId="0" applyFont="1" applyFill="1" applyBorder="1" applyAlignment="1">
      <alignment horizontal="center"/>
    </xf>
    <xf numFmtId="0" fontId="62" fillId="5" borderId="19" xfId="0" applyFont="1" applyFill="1" applyBorder="1" applyAlignment="1">
      <alignment horizontal="center"/>
    </xf>
    <xf numFmtId="0" fontId="62" fillId="31" borderId="19" xfId="0" applyFont="1" applyFill="1" applyBorder="1" applyAlignment="1">
      <alignment horizontal="center"/>
    </xf>
    <xf numFmtId="0" fontId="62" fillId="4" borderId="35" xfId="0" applyFont="1" applyFill="1" applyBorder="1" applyAlignment="1">
      <alignment horizontal="center"/>
    </xf>
    <xf numFmtId="0" fontId="27" fillId="47" borderId="3" xfId="0" applyFont="1" applyFill="1" applyBorder="1" applyAlignment="1">
      <alignment horizontal="center"/>
    </xf>
    <xf numFmtId="1" fontId="92" fillId="16" borderId="9" xfId="0" applyNumberFormat="1" applyFont="1" applyFill="1" applyBorder="1" applyAlignment="1" applyProtection="1">
      <alignment horizontal="center"/>
      <protection hidden="1"/>
    </xf>
    <xf numFmtId="1" fontId="92" fillId="37" borderId="33" xfId="0" applyNumberFormat="1" applyFont="1" applyFill="1" applyBorder="1" applyAlignment="1">
      <alignment horizontal="center"/>
    </xf>
    <xf numFmtId="0" fontId="27" fillId="0" borderId="28" xfId="0" applyFont="1" applyBorder="1" applyAlignment="1"/>
    <xf numFmtId="0" fontId="27" fillId="0" borderId="30" xfId="0" applyFont="1" applyBorder="1"/>
    <xf numFmtId="168" fontId="27" fillId="0" borderId="0" xfId="0" applyNumberFormat="1" applyFont="1"/>
    <xf numFmtId="0" fontId="27" fillId="0" borderId="28" xfId="0" applyFont="1" applyBorder="1" applyAlignment="1">
      <alignment horizontal="center"/>
    </xf>
    <xf numFmtId="1" fontId="62" fillId="4" borderId="19" xfId="0" applyNumberFormat="1" applyFont="1" applyFill="1" applyBorder="1" applyAlignment="1">
      <alignment horizontal="center"/>
    </xf>
    <xf numFmtId="0" fontId="105" fillId="36" borderId="19" xfId="0" applyFont="1" applyFill="1" applyBorder="1" applyAlignment="1">
      <alignment horizontal="center"/>
    </xf>
    <xf numFmtId="0" fontId="27" fillId="0" borderId="33" xfId="0" applyFont="1" applyBorder="1" applyAlignment="1">
      <alignment horizontal="left"/>
    </xf>
    <xf numFmtId="0" fontId="27" fillId="0" borderId="73" xfId="0" applyFont="1" applyBorder="1" applyAlignment="1">
      <alignment horizontal="center"/>
    </xf>
    <xf numFmtId="0" fontId="62" fillId="4" borderId="73" xfId="0" applyFont="1" applyFill="1" applyBorder="1" applyAlignment="1">
      <alignment horizontal="center"/>
    </xf>
    <xf numFmtId="0" fontId="92" fillId="37" borderId="73" xfId="0" applyFont="1" applyFill="1" applyBorder="1" applyAlignment="1">
      <alignment horizontal="center"/>
    </xf>
    <xf numFmtId="0" fontId="105" fillId="4" borderId="73" xfId="0" applyFont="1" applyFill="1" applyBorder="1" applyAlignment="1">
      <alignment horizontal="center"/>
    </xf>
    <xf numFmtId="0" fontId="27" fillId="0" borderId="71" xfId="0" applyFont="1" applyBorder="1"/>
    <xf numFmtId="0" fontId="27" fillId="0" borderId="8" xfId="0" applyFont="1" applyBorder="1"/>
    <xf numFmtId="0" fontId="105" fillId="38" borderId="86" xfId="0" applyFont="1" applyFill="1" applyBorder="1" applyAlignment="1">
      <alignment horizontal="center"/>
    </xf>
    <xf numFmtId="1" fontId="62" fillId="4" borderId="78" xfId="0" applyNumberFormat="1" applyFont="1" applyFill="1" applyBorder="1" applyAlignment="1">
      <alignment horizontal="center"/>
    </xf>
    <xf numFmtId="0" fontId="92" fillId="37" borderId="35" xfId="0" applyFont="1" applyFill="1" applyBorder="1"/>
    <xf numFmtId="0" fontId="31" fillId="0" borderId="73" xfId="0" applyFont="1" applyBorder="1" applyAlignment="1">
      <alignment horizontal="center"/>
    </xf>
    <xf numFmtId="0" fontId="105" fillId="35" borderId="73" xfId="0" applyFont="1" applyFill="1" applyBorder="1" applyAlignment="1">
      <alignment horizontal="center"/>
    </xf>
    <xf numFmtId="0" fontId="27" fillId="17" borderId="13" xfId="0" applyFont="1" applyFill="1" applyBorder="1" applyAlignment="1" applyProtection="1">
      <alignment horizontal="center"/>
      <protection hidden="1"/>
    </xf>
    <xf numFmtId="0" fontId="27" fillId="0" borderId="11" xfId="0" applyFont="1" applyBorder="1"/>
    <xf numFmtId="0" fontId="5" fillId="12" borderId="13" xfId="0" applyFont="1" applyFill="1" applyBorder="1" applyAlignment="1" applyProtection="1">
      <alignment horizontal="center"/>
      <protection hidden="1"/>
    </xf>
    <xf numFmtId="0" fontId="5" fillId="11" borderId="13" xfId="0" applyFont="1" applyFill="1" applyBorder="1" applyAlignment="1" applyProtection="1">
      <alignment horizontal="center"/>
      <protection hidden="1"/>
    </xf>
    <xf numFmtId="0" fontId="5" fillId="7" borderId="13" xfId="0" applyFont="1" applyFill="1" applyBorder="1" applyAlignment="1" applyProtection="1">
      <alignment horizontal="center"/>
      <protection hidden="1"/>
    </xf>
    <xf numFmtId="0" fontId="38" fillId="7" borderId="13" xfId="0" applyFont="1" applyFill="1" applyBorder="1" applyAlignment="1" applyProtection="1">
      <alignment horizontal="center"/>
      <protection hidden="1"/>
    </xf>
    <xf numFmtId="0" fontId="7" fillId="7" borderId="13" xfId="0" applyFont="1" applyFill="1" applyBorder="1" applyAlignment="1" applyProtection="1">
      <alignment horizontal="center"/>
      <protection hidden="1"/>
    </xf>
    <xf numFmtId="0" fontId="5" fillId="42" borderId="13" xfId="0" applyFont="1" applyFill="1" applyBorder="1" applyAlignment="1" applyProtection="1">
      <alignment horizontal="center"/>
      <protection hidden="1"/>
    </xf>
    <xf numFmtId="0" fontId="5" fillId="57" borderId="13" xfId="0" applyFont="1" applyFill="1" applyBorder="1" applyAlignment="1" applyProtection="1">
      <alignment horizontal="center"/>
      <protection hidden="1"/>
    </xf>
    <xf numFmtId="0" fontId="84" fillId="0" borderId="0" xfId="0" applyFont="1" applyAlignment="1" applyProtection="1">
      <alignment horizontal="center"/>
      <protection hidden="1"/>
    </xf>
    <xf numFmtId="0" fontId="117" fillId="0" borderId="0" xfId="0" applyFont="1"/>
    <xf numFmtId="0" fontId="33" fillId="12" borderId="13" xfId="0" applyFont="1" applyFill="1" applyBorder="1" applyAlignment="1" applyProtection="1">
      <alignment horizontal="center"/>
      <protection hidden="1"/>
    </xf>
    <xf numFmtId="0" fontId="33" fillId="0" borderId="0" xfId="0" applyFont="1" applyFill="1" applyBorder="1" applyAlignment="1" applyProtection="1">
      <alignment horizontal="center"/>
      <protection hidden="1"/>
    </xf>
    <xf numFmtId="0" fontId="33" fillId="32" borderId="0" xfId="0" applyFont="1" applyFill="1" applyAlignment="1" applyProtection="1">
      <alignment horizontal="center"/>
      <protection hidden="1"/>
    </xf>
    <xf numFmtId="0" fontId="109" fillId="48" borderId="0" xfId="0" applyFont="1" applyFill="1" applyAlignment="1" applyProtection="1">
      <alignment horizontal="center"/>
      <protection hidden="1"/>
    </xf>
    <xf numFmtId="0" fontId="110" fillId="31" borderId="0" xfId="0" applyFont="1" applyFill="1" applyAlignment="1" applyProtection="1">
      <alignment horizontal="center"/>
      <protection hidden="1"/>
    </xf>
    <xf numFmtId="0" fontId="33" fillId="30" borderId="0" xfId="0" applyFont="1" applyFill="1" applyAlignment="1" applyProtection="1">
      <alignment horizontal="center"/>
      <protection hidden="1"/>
    </xf>
    <xf numFmtId="0" fontId="1" fillId="0" borderId="0" xfId="10" applyFont="1"/>
    <xf numFmtId="0" fontId="117" fillId="0" borderId="0" xfId="8" applyFont="1" applyProtection="1">
      <protection hidden="1"/>
    </xf>
    <xf numFmtId="0" fontId="98" fillId="38" borderId="13" xfId="0" applyFont="1" applyFill="1" applyBorder="1" applyAlignment="1" applyProtection="1">
      <alignment horizontal="center"/>
      <protection hidden="1"/>
    </xf>
    <xf numFmtId="0" fontId="98" fillId="46" borderId="39" xfId="0" applyFont="1" applyFill="1" applyBorder="1" applyAlignment="1" applyProtection="1">
      <alignment horizontal="center" vertical="center"/>
      <protection hidden="1"/>
    </xf>
    <xf numFmtId="0" fontId="84" fillId="37" borderId="40" xfId="0" applyFont="1" applyFill="1" applyBorder="1" applyAlignment="1" applyProtection="1">
      <alignment horizontal="center" vertical="center"/>
      <protection hidden="1"/>
    </xf>
    <xf numFmtId="1" fontId="84" fillId="48" borderId="13" xfId="0" applyNumberFormat="1" applyFont="1" applyFill="1" applyBorder="1" applyAlignment="1" applyProtection="1">
      <alignment horizontal="center"/>
      <protection hidden="1"/>
    </xf>
    <xf numFmtId="0" fontId="27" fillId="47" borderId="90" xfId="0" applyFont="1" applyFill="1" applyBorder="1" applyAlignment="1">
      <alignment horizontal="center"/>
    </xf>
    <xf numFmtId="0" fontId="5" fillId="9" borderId="40" xfId="0" applyFont="1" applyFill="1" applyBorder="1" applyAlignment="1" applyProtection="1">
      <alignment horizontal="center" vertical="center"/>
      <protection hidden="1"/>
    </xf>
    <xf numFmtId="0" fontId="0" fillId="0" borderId="0" xfId="0"/>
    <xf numFmtId="0" fontId="0" fillId="0" borderId="26" xfId="0" applyBorder="1" applyAlignment="1"/>
    <xf numFmtId="0" fontId="5" fillId="0" borderId="0" xfId="0" applyFont="1" applyBorder="1" applyAlignment="1"/>
    <xf numFmtId="0" fontId="121" fillId="0" borderId="32" xfId="0" applyFont="1" applyBorder="1" applyAlignment="1">
      <alignment horizontal="center"/>
    </xf>
    <xf numFmtId="0" fontId="10" fillId="0" borderId="32" xfId="0" applyFont="1" applyBorder="1"/>
    <xf numFmtId="0" fontId="5" fillId="0" borderId="28" xfId="0" applyFont="1" applyBorder="1"/>
    <xf numFmtId="0" fontId="5" fillId="0" borderId="0" xfId="0" applyFont="1" applyBorder="1"/>
    <xf numFmtId="0" fontId="5" fillId="0" borderId="33" xfId="0" applyFont="1" applyBorder="1"/>
    <xf numFmtId="0" fontId="78" fillId="39" borderId="5" xfId="0" applyFont="1" applyFill="1" applyBorder="1" applyAlignment="1">
      <alignment horizontal="center"/>
    </xf>
    <xf numFmtId="0" fontId="92" fillId="48" borderId="8" xfId="0" applyFont="1" applyFill="1" applyBorder="1" applyAlignment="1">
      <alignment horizontal="center"/>
    </xf>
    <xf numFmtId="0" fontId="100" fillId="39" borderId="0" xfId="0" applyFont="1" applyFill="1" applyBorder="1" applyAlignment="1">
      <alignment horizontal="center"/>
    </xf>
    <xf numFmtId="0" fontId="92" fillId="38" borderId="64" xfId="0" applyFont="1" applyFill="1" applyBorder="1" applyAlignment="1" applyProtection="1">
      <alignment horizontal="center"/>
      <protection hidden="1"/>
    </xf>
    <xf numFmtId="0" fontId="105" fillId="38" borderId="64" xfId="0" applyFont="1" applyFill="1" applyBorder="1" applyAlignment="1" applyProtection="1">
      <alignment horizontal="center"/>
      <protection hidden="1"/>
    </xf>
    <xf numFmtId="0" fontId="5" fillId="9" borderId="42" xfId="0" applyFont="1" applyFill="1" applyBorder="1" applyAlignment="1" applyProtection="1">
      <alignment horizontal="center" vertical="center"/>
      <protection hidden="1"/>
    </xf>
    <xf numFmtId="0" fontId="98" fillId="9" borderId="39" xfId="0" applyFont="1" applyFill="1" applyBorder="1" applyAlignment="1" applyProtection="1">
      <alignment horizontal="center" vertical="center"/>
      <protection hidden="1"/>
    </xf>
    <xf numFmtId="0" fontId="92" fillId="58" borderId="64" xfId="0" applyFont="1" applyFill="1" applyBorder="1" applyAlignment="1" applyProtection="1">
      <alignment horizontal="center"/>
      <protection hidden="1"/>
    </xf>
    <xf numFmtId="0" fontId="74" fillId="39" borderId="0" xfId="0" applyFont="1" applyFill="1" applyBorder="1" applyAlignment="1">
      <alignment horizontal="center"/>
    </xf>
    <xf numFmtId="0" fontId="99" fillId="39" borderId="0" xfId="0" applyFont="1" applyFill="1" applyBorder="1" applyAlignment="1">
      <alignment horizontal="center"/>
    </xf>
    <xf numFmtId="0" fontId="75" fillId="39" borderId="23" xfId="0" applyFont="1" applyFill="1" applyBorder="1" applyAlignment="1">
      <alignment horizontal="center"/>
    </xf>
    <xf numFmtId="0" fontId="75" fillId="37" borderId="0" xfId="0" applyFont="1" applyFill="1" applyBorder="1" applyAlignment="1">
      <alignment horizontal="center"/>
    </xf>
    <xf numFmtId="0" fontId="105" fillId="38" borderId="19" xfId="0" applyFont="1" applyFill="1" applyBorder="1" applyAlignment="1">
      <alignment horizontal="center"/>
    </xf>
    <xf numFmtId="0" fontId="105" fillId="38" borderId="90" xfId="0" applyFont="1" applyFill="1" applyBorder="1" applyAlignment="1">
      <alignment horizontal="center"/>
    </xf>
    <xf numFmtId="0" fontId="105" fillId="38" borderId="4" xfId="0" applyFont="1" applyFill="1" applyBorder="1" applyAlignment="1">
      <alignment horizontal="center"/>
    </xf>
    <xf numFmtId="0" fontId="85" fillId="37" borderId="0" xfId="0" applyFont="1" applyFill="1" applyBorder="1" applyAlignment="1">
      <alignment horizontal="center"/>
    </xf>
    <xf numFmtId="0" fontId="92" fillId="50" borderId="73" xfId="0" applyFont="1" applyFill="1" applyBorder="1" applyAlignment="1">
      <alignment horizontal="center"/>
    </xf>
    <xf numFmtId="0" fontId="92" fillId="35" borderId="73" xfId="0" applyFont="1" applyFill="1" applyBorder="1" applyAlignment="1">
      <alignment horizontal="center"/>
    </xf>
    <xf numFmtId="0" fontId="12" fillId="39" borderId="23" xfId="0" applyFont="1" applyFill="1" applyBorder="1" applyAlignment="1">
      <alignment horizontal="center"/>
    </xf>
    <xf numFmtId="0" fontId="77" fillId="39" borderId="26" xfId="0" applyFont="1" applyFill="1" applyBorder="1" applyAlignment="1">
      <alignment horizontal="center"/>
    </xf>
    <xf numFmtId="0" fontId="105" fillId="44" borderId="0" xfId="0" applyFont="1" applyFill="1" applyBorder="1" applyAlignment="1">
      <alignment horizontal="center"/>
    </xf>
    <xf numFmtId="0" fontId="99" fillId="44" borderId="0" xfId="0" applyFont="1" applyFill="1" applyBorder="1" applyAlignment="1">
      <alignment horizontal="center"/>
    </xf>
    <xf numFmtId="0" fontId="106" fillId="38" borderId="0" xfId="0" applyFont="1" applyFill="1" applyBorder="1" applyAlignment="1" applyProtection="1">
      <alignment horizontal="center" vertical="center"/>
      <protection hidden="1"/>
    </xf>
    <xf numFmtId="1" fontId="106" fillId="48" borderId="13" xfId="0" applyNumberFormat="1" applyFont="1" applyFill="1" applyBorder="1" applyAlignment="1" applyProtection="1">
      <alignment horizontal="center"/>
      <protection hidden="1"/>
    </xf>
    <xf numFmtId="0" fontId="84" fillId="37" borderId="39" xfId="0" applyFont="1" applyFill="1" applyBorder="1" applyAlignment="1" applyProtection="1">
      <alignment horizontal="center" vertical="center"/>
      <protection hidden="1"/>
    </xf>
    <xf numFmtId="168" fontId="0" fillId="0" borderId="4" xfId="0" applyNumberFormat="1" applyBorder="1" applyAlignment="1">
      <alignment horizontal="center"/>
    </xf>
    <xf numFmtId="0" fontId="0" fillId="0" borderId="4" xfId="0" applyBorder="1" applyAlignment="1"/>
    <xf numFmtId="0" fontId="12" fillId="0" borderId="0" xfId="0" applyFont="1" applyBorder="1" applyAlignment="1" applyProtection="1">
      <alignment horizontal="center"/>
      <protection hidden="1"/>
    </xf>
    <xf numFmtId="1" fontId="16" fillId="0" borderId="0" xfId="0" applyNumberFormat="1" applyFont="1" applyBorder="1" applyAlignment="1" applyProtection="1">
      <alignment horizontal="center"/>
      <protection hidden="1"/>
    </xf>
    <xf numFmtId="0" fontId="16" fillId="0" borderId="0" xfId="0" applyNumberFormat="1" applyFont="1" applyBorder="1" applyAlignment="1" applyProtection="1">
      <alignment horizontal="center"/>
      <protection hidden="1"/>
    </xf>
    <xf numFmtId="1" fontId="15" fillId="0" borderId="0" xfId="0" applyNumberFormat="1" applyFont="1" applyBorder="1" applyAlignment="1" applyProtection="1">
      <alignment horizontal="center"/>
      <protection hidden="1"/>
    </xf>
    <xf numFmtId="0" fontId="14" fillId="0" borderId="0" xfId="0" applyFont="1" applyBorder="1" applyProtection="1">
      <protection hidden="1"/>
    </xf>
    <xf numFmtId="1" fontId="12" fillId="0" borderId="0" xfId="0" applyNumberFormat="1" applyFont="1" applyBorder="1" applyAlignment="1" applyProtection="1">
      <alignment horizontal="center"/>
      <protection hidden="1"/>
    </xf>
    <xf numFmtId="1" fontId="0" fillId="0" borderId="0" xfId="0" applyNumberFormat="1" applyAlignment="1" applyProtection="1">
      <alignment horizontal="center"/>
      <protection hidden="1"/>
    </xf>
    <xf numFmtId="1" fontId="7" fillId="0" borderId="0" xfId="0" applyNumberFormat="1" applyFont="1" applyBorder="1" applyAlignment="1" applyProtection="1">
      <alignment horizontal="center"/>
      <protection hidden="1"/>
    </xf>
    <xf numFmtId="0" fontId="7" fillId="0" borderId="0" xfId="0" applyFont="1" applyBorder="1" applyAlignment="1" applyProtection="1">
      <alignment horizontal="center"/>
      <protection hidden="1"/>
    </xf>
    <xf numFmtId="0" fontId="0" fillId="0" borderId="0" xfId="0" applyFill="1" applyBorder="1" applyAlignment="1" applyProtection="1">
      <alignment horizontal="center" wrapText="1"/>
      <protection hidden="1"/>
    </xf>
    <xf numFmtId="0" fontId="0" fillId="0" borderId="0" xfId="0" applyAlignment="1" applyProtection="1">
      <alignment horizontal="center"/>
      <protection hidden="1"/>
    </xf>
    <xf numFmtId="165" fontId="32" fillId="0" borderId="0" xfId="0" applyNumberFormat="1" applyFont="1" applyAlignment="1" applyProtection="1">
      <alignment horizontal="center" wrapText="1"/>
      <protection hidden="1"/>
    </xf>
    <xf numFmtId="0" fontId="32" fillId="0" borderId="0" xfId="0" applyFont="1" applyAlignment="1" applyProtection="1">
      <alignment horizontal="center" wrapText="1"/>
      <protection hidden="1"/>
    </xf>
    <xf numFmtId="0" fontId="61" fillId="11" borderId="18" xfId="2" applyFont="1" applyFill="1" applyBorder="1" applyAlignment="1" applyProtection="1">
      <alignment horizontal="center"/>
    </xf>
    <xf numFmtId="0" fontId="61" fillId="11" borderId="11" xfId="2" applyFont="1" applyFill="1" applyBorder="1" applyAlignment="1" applyProtection="1">
      <alignment horizontal="center"/>
    </xf>
    <xf numFmtId="0" fontId="61" fillId="11" borderId="12" xfId="2" applyFont="1" applyFill="1" applyBorder="1" applyAlignment="1" applyProtection="1">
      <alignment horizontal="center"/>
    </xf>
    <xf numFmtId="0" fontId="61" fillId="34" borderId="18" xfId="2" applyFont="1" applyFill="1" applyBorder="1" applyAlignment="1" applyProtection="1">
      <alignment horizontal="center"/>
    </xf>
    <xf numFmtId="0" fontId="61" fillId="34" borderId="11" xfId="2" applyFont="1" applyFill="1" applyBorder="1" applyAlignment="1" applyProtection="1">
      <alignment horizontal="center"/>
    </xf>
    <xf numFmtId="0" fontId="61" fillId="34" borderId="12" xfId="2" applyFont="1" applyFill="1" applyBorder="1" applyAlignment="1" applyProtection="1">
      <alignment horizontal="center"/>
    </xf>
    <xf numFmtId="0" fontId="0" fillId="0" borderId="9" xfId="0" applyBorder="1"/>
    <xf numFmtId="0" fontId="0" fillId="0" borderId="26" xfId="0" applyBorder="1"/>
    <xf numFmtId="0" fontId="61" fillId="7" borderId="18" xfId="2" applyFont="1" applyFill="1" applyBorder="1" applyAlignment="1" applyProtection="1">
      <alignment horizontal="center"/>
    </xf>
    <xf numFmtId="0" fontId="61" fillId="7" borderId="11" xfId="2" applyFont="1" applyFill="1" applyBorder="1" applyAlignment="1" applyProtection="1">
      <alignment horizontal="center"/>
    </xf>
    <xf numFmtId="0" fontId="61" fillId="7" borderId="12" xfId="2" applyFont="1" applyFill="1" applyBorder="1" applyAlignment="1" applyProtection="1">
      <alignment horizontal="center"/>
    </xf>
    <xf numFmtId="0" fontId="61" fillId="31" borderId="18" xfId="2" applyFont="1" applyFill="1" applyBorder="1" applyAlignment="1" applyProtection="1">
      <alignment horizontal="center"/>
    </xf>
    <xf numFmtId="0" fontId="61" fillId="31" borderId="11" xfId="2" applyFont="1" applyFill="1" applyBorder="1" applyAlignment="1" applyProtection="1">
      <alignment horizontal="center"/>
    </xf>
    <xf numFmtId="0" fontId="61" fillId="31" borderId="12" xfId="2" applyFont="1" applyFill="1" applyBorder="1" applyAlignment="1" applyProtection="1">
      <alignment horizontal="center"/>
    </xf>
    <xf numFmtId="0" fontId="61" fillId="28" borderId="18" xfId="2" applyFont="1" applyFill="1" applyBorder="1" applyAlignment="1" applyProtection="1">
      <alignment horizontal="center"/>
    </xf>
    <xf numFmtId="0" fontId="61" fillId="28" borderId="11" xfId="2" applyFont="1" applyFill="1" applyBorder="1" applyAlignment="1" applyProtection="1">
      <alignment horizontal="center"/>
    </xf>
    <xf numFmtId="0" fontId="61" fillId="28" borderId="12" xfId="2" applyFont="1" applyFill="1" applyBorder="1" applyAlignment="1" applyProtection="1">
      <alignment horizontal="center"/>
    </xf>
    <xf numFmtId="0" fontId="61" fillId="25" borderId="18" xfId="2" applyFont="1" applyFill="1" applyBorder="1" applyAlignment="1" applyProtection="1">
      <alignment horizontal="center"/>
    </xf>
    <xf numFmtId="0" fontId="61" fillId="25" borderId="11" xfId="2" applyFont="1" applyFill="1" applyBorder="1" applyAlignment="1" applyProtection="1">
      <alignment horizontal="center"/>
    </xf>
    <xf numFmtId="0" fontId="61" fillId="25" borderId="12" xfId="2" applyFont="1" applyFill="1" applyBorder="1" applyAlignment="1" applyProtection="1">
      <alignment horizontal="center"/>
    </xf>
    <xf numFmtId="0" fontId="61" fillId="12" borderId="18" xfId="2" applyFont="1" applyFill="1" applyBorder="1" applyAlignment="1" applyProtection="1">
      <alignment horizontal="center"/>
    </xf>
    <xf numFmtId="0" fontId="61" fillId="12" borderId="11" xfId="2" applyFont="1" applyFill="1" applyBorder="1" applyAlignment="1" applyProtection="1">
      <alignment horizontal="center"/>
    </xf>
    <xf numFmtId="0" fontId="61" fillId="12" borderId="12" xfId="2" applyFont="1" applyFill="1" applyBorder="1" applyAlignment="1" applyProtection="1">
      <alignment horizontal="center"/>
    </xf>
    <xf numFmtId="0" fontId="61" fillId="3" borderId="18" xfId="2" applyFont="1" applyFill="1" applyBorder="1" applyAlignment="1" applyProtection="1">
      <alignment horizontal="center"/>
    </xf>
    <xf numFmtId="0" fontId="61" fillId="3" borderId="11" xfId="2" applyFont="1" applyFill="1" applyBorder="1" applyAlignment="1" applyProtection="1">
      <alignment horizontal="center"/>
    </xf>
    <xf numFmtId="0" fontId="61" fillId="3" borderId="12" xfId="2" applyFont="1" applyFill="1" applyBorder="1" applyAlignment="1" applyProtection="1">
      <alignment horizontal="center"/>
    </xf>
    <xf numFmtId="0" fontId="61" fillId="15" borderId="18" xfId="2" applyFont="1" applyFill="1" applyBorder="1" applyAlignment="1" applyProtection="1">
      <alignment horizontal="center"/>
    </xf>
    <xf numFmtId="0" fontId="61" fillId="15" borderId="11" xfId="2" applyFont="1" applyFill="1" applyBorder="1" applyAlignment="1" applyProtection="1">
      <alignment horizontal="center"/>
    </xf>
    <xf numFmtId="0" fontId="61" fillId="15" borderId="12" xfId="2" applyFont="1" applyFill="1" applyBorder="1" applyAlignment="1" applyProtection="1">
      <alignment horizontal="center"/>
    </xf>
    <xf numFmtId="0" fontId="61" fillId="4" borderId="18" xfId="2" applyFont="1" applyFill="1" applyBorder="1" applyAlignment="1" applyProtection="1">
      <alignment horizontal="center"/>
    </xf>
    <xf numFmtId="0" fontId="61" fillId="4" borderId="11" xfId="2" applyFont="1" applyFill="1" applyBorder="1" applyAlignment="1" applyProtection="1">
      <alignment horizontal="center"/>
    </xf>
    <xf numFmtId="0" fontId="61" fillId="4" borderId="12" xfId="2" applyFont="1" applyFill="1" applyBorder="1" applyAlignment="1" applyProtection="1">
      <alignment horizontal="center"/>
    </xf>
    <xf numFmtId="0" fontId="61" fillId="8" borderId="18" xfId="2" applyFont="1" applyFill="1" applyBorder="1" applyAlignment="1" applyProtection="1">
      <alignment horizontal="center"/>
    </xf>
    <xf numFmtId="0" fontId="61" fillId="8" borderId="11" xfId="2" applyFont="1" applyFill="1" applyBorder="1" applyAlignment="1" applyProtection="1">
      <alignment horizontal="center"/>
    </xf>
    <xf numFmtId="0" fontId="61" fillId="8" borderId="12" xfId="2" applyFont="1" applyFill="1" applyBorder="1" applyAlignment="1" applyProtection="1">
      <alignment horizontal="center"/>
    </xf>
    <xf numFmtId="0" fontId="61" fillId="33" borderId="18" xfId="2" applyFont="1" applyFill="1" applyBorder="1" applyAlignment="1" applyProtection="1">
      <alignment horizontal="center"/>
    </xf>
    <xf numFmtId="0" fontId="61" fillId="33" borderId="11" xfId="2" applyFont="1" applyFill="1" applyBorder="1" applyAlignment="1" applyProtection="1">
      <alignment horizontal="center"/>
    </xf>
    <xf numFmtId="0" fontId="61" fillId="33" borderId="12" xfId="2" applyFont="1" applyFill="1" applyBorder="1" applyAlignment="1" applyProtection="1">
      <alignment horizontal="center"/>
    </xf>
    <xf numFmtId="0" fontId="61" fillId="30" borderId="18" xfId="2" applyFont="1" applyFill="1" applyBorder="1" applyAlignment="1" applyProtection="1">
      <alignment horizontal="center"/>
    </xf>
    <xf numFmtId="0" fontId="61" fillId="30" borderId="11" xfId="2" applyFont="1" applyFill="1" applyBorder="1" applyAlignment="1" applyProtection="1">
      <alignment horizontal="center"/>
    </xf>
    <xf numFmtId="0" fontId="61" fillId="30" borderId="12" xfId="2" applyFont="1" applyFill="1" applyBorder="1" applyAlignment="1" applyProtection="1">
      <alignment horizontal="center"/>
    </xf>
    <xf numFmtId="0" fontId="6" fillId="0" borderId="0" xfId="0" applyFont="1" applyBorder="1" applyAlignment="1">
      <alignment horizontal="center"/>
    </xf>
    <xf numFmtId="0" fontId="9" fillId="0" borderId="0" xfId="0" applyFont="1" applyAlignment="1">
      <alignment horizontal="center"/>
    </xf>
    <xf numFmtId="0" fontId="6" fillId="0" borderId="8" xfId="0" applyFont="1" applyBorder="1" applyAlignment="1">
      <alignment horizontal="center"/>
    </xf>
    <xf numFmtId="0" fontId="9" fillId="0" borderId="8" xfId="0" applyFont="1" applyBorder="1" applyAlignment="1">
      <alignment horizontal="center"/>
    </xf>
    <xf numFmtId="0" fontId="51" fillId="11" borderId="9" xfId="0" applyFont="1" applyFill="1" applyBorder="1" applyAlignment="1">
      <alignment horizontal="left"/>
    </xf>
    <xf numFmtId="0" fontId="0" fillId="11" borderId="4" xfId="0" applyFill="1" applyBorder="1" applyAlignment="1"/>
    <xf numFmtId="0" fontId="0" fillId="11" borderId="5" xfId="0" applyFill="1" applyBorder="1" applyAlignment="1"/>
    <xf numFmtId="0" fontId="0" fillId="11" borderId="26" xfId="0" applyFill="1" applyBorder="1" applyAlignment="1"/>
    <xf numFmtId="0" fontId="0" fillId="11" borderId="0" xfId="0" applyFill="1" applyBorder="1" applyAlignment="1"/>
    <xf numFmtId="0" fontId="0" fillId="11" borderId="23" xfId="0" applyFill="1" applyBorder="1" applyAlignment="1"/>
    <xf numFmtId="0" fontId="0" fillId="11" borderId="6" xfId="0" applyFill="1" applyBorder="1" applyAlignment="1"/>
    <xf numFmtId="0" fontId="0" fillId="11" borderId="8" xfId="0" applyFill="1" applyBorder="1" applyAlignment="1"/>
    <xf numFmtId="0" fontId="0" fillId="11" borderId="7" xfId="0" applyFill="1" applyBorder="1" applyAlignment="1"/>
    <xf numFmtId="0" fontId="50" fillId="18" borderId="9" xfId="0" applyFont="1" applyFill="1"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26" xfId="0" applyBorder="1" applyAlignment="1" applyProtection="1">
      <alignment horizontal="center"/>
      <protection locked="0"/>
    </xf>
    <xf numFmtId="0" fontId="0" fillId="0" borderId="0"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6" xfId="0" applyBorder="1" applyAlignment="1" applyProtection="1">
      <alignment horizontal="center"/>
      <protection locked="0"/>
    </xf>
    <xf numFmtId="0" fontId="0" fillId="0" borderId="8" xfId="0" applyBorder="1" applyAlignment="1" applyProtection="1">
      <alignment horizontal="center"/>
      <protection locked="0"/>
    </xf>
    <xf numFmtId="0" fontId="0" fillId="0" borderId="7" xfId="0" applyBorder="1" applyAlignment="1" applyProtection="1">
      <alignment horizontal="center"/>
      <protection locked="0"/>
    </xf>
    <xf numFmtId="0" fontId="98" fillId="2" borderId="18" xfId="0" applyFont="1" applyFill="1" applyBorder="1" applyAlignment="1" applyProtection="1">
      <alignment horizontal="center"/>
      <protection hidden="1"/>
    </xf>
    <xf numFmtId="0" fontId="0" fillId="0" borderId="11" xfId="0" applyBorder="1" applyAlignment="1">
      <alignment horizontal="center"/>
    </xf>
    <xf numFmtId="0" fontId="0" fillId="0" borderId="12" xfId="0" applyBorder="1" applyAlignment="1">
      <alignment horizontal="center"/>
    </xf>
    <xf numFmtId="0" fontId="5" fillId="10" borderId="42" xfId="0" applyFont="1" applyFill="1" applyBorder="1" applyAlignment="1" applyProtection="1">
      <alignment horizontal="left"/>
      <protection hidden="1"/>
    </xf>
    <xf numFmtId="0" fontId="5" fillId="0" borderId="42" xfId="0" applyFont="1" applyBorder="1" applyAlignment="1"/>
    <xf numFmtId="0" fontId="84" fillId="40" borderId="42" xfId="0" applyFont="1" applyFill="1" applyBorder="1" applyAlignment="1">
      <alignment horizontal="left"/>
    </xf>
    <xf numFmtId="168" fontId="84" fillId="40" borderId="42" xfId="0" applyNumberFormat="1" applyFont="1" applyFill="1" applyBorder="1" applyAlignment="1">
      <alignment horizontal="center"/>
    </xf>
    <xf numFmtId="0" fontId="84" fillId="40" borderId="63" xfId="0" applyFont="1" applyFill="1" applyBorder="1" applyAlignment="1">
      <alignment horizontal="center"/>
    </xf>
    <xf numFmtId="0" fontId="5" fillId="0" borderId="0" xfId="0" applyFont="1" applyAlignment="1" applyProtection="1">
      <protection hidden="1"/>
    </xf>
    <xf numFmtId="0" fontId="5" fillId="0" borderId="0" xfId="0" applyFont="1" applyAlignment="1"/>
    <xf numFmtId="14" fontId="5" fillId="0" borderId="0" xfId="0" applyNumberFormat="1" applyFont="1" applyAlignment="1" applyProtection="1">
      <protection hidden="1"/>
    </xf>
    <xf numFmtId="1" fontId="5" fillId="2" borderId="0" xfId="0" applyNumberFormat="1" applyFont="1" applyFill="1" applyAlignment="1" applyProtection="1">
      <alignment horizontal="center"/>
      <protection hidden="1"/>
    </xf>
    <xf numFmtId="1" fontId="5" fillId="2" borderId="0" xfId="0" applyNumberFormat="1" applyFont="1" applyFill="1" applyAlignment="1">
      <alignment horizontal="center"/>
    </xf>
    <xf numFmtId="1" fontId="5" fillId="0" borderId="0" xfId="0" applyNumberFormat="1" applyFont="1" applyAlignment="1" applyProtection="1">
      <protection hidden="1"/>
    </xf>
    <xf numFmtId="1" fontId="5" fillId="0" borderId="0" xfId="0" applyNumberFormat="1" applyFont="1" applyAlignment="1"/>
    <xf numFmtId="14" fontId="5" fillId="0" borderId="0" xfId="0" applyNumberFormat="1" applyFont="1" applyAlignment="1"/>
    <xf numFmtId="168" fontId="5" fillId="0" borderId="0" xfId="0" applyNumberFormat="1" applyFont="1" applyAlignment="1" applyProtection="1">
      <protection hidden="1"/>
    </xf>
    <xf numFmtId="168" fontId="5" fillId="0" borderId="0" xfId="0" applyNumberFormat="1" applyFont="1" applyAlignment="1"/>
    <xf numFmtId="168" fontId="5" fillId="2" borderId="0" xfId="0" applyNumberFormat="1" applyFont="1" applyFill="1" applyAlignment="1" applyProtection="1">
      <alignment horizontal="center"/>
      <protection hidden="1"/>
    </xf>
    <xf numFmtId="0" fontId="5" fillId="0" borderId="0" xfId="0" applyFont="1" applyAlignment="1">
      <alignment horizontal="center"/>
    </xf>
    <xf numFmtId="0" fontId="5" fillId="9" borderId="49" xfId="0" applyFont="1" applyFill="1" applyBorder="1" applyAlignment="1" applyProtection="1">
      <alignment horizontal="center" wrapText="1"/>
      <protection hidden="1"/>
    </xf>
    <xf numFmtId="0" fontId="5" fillId="0" borderId="28" xfId="0" applyFont="1" applyBorder="1" applyAlignment="1">
      <alignment horizontal="center" wrapText="1"/>
    </xf>
    <xf numFmtId="0" fontId="5" fillId="0" borderId="29" xfId="0" applyFont="1" applyBorder="1" applyAlignment="1">
      <alignment horizontal="center" wrapText="1"/>
    </xf>
    <xf numFmtId="0" fontId="5" fillId="0" borderId="32" xfId="0" applyFont="1" applyBorder="1" applyAlignment="1">
      <alignment horizontal="center" wrapText="1"/>
    </xf>
    <xf numFmtId="0" fontId="5" fillId="0" borderId="33" xfId="0" applyFont="1" applyBorder="1" applyAlignment="1">
      <alignment horizontal="center" wrapText="1"/>
    </xf>
    <xf numFmtId="0" fontId="5" fillId="0" borderId="34" xfId="0" applyFont="1" applyBorder="1" applyAlignment="1">
      <alignment horizontal="center" wrapText="1"/>
    </xf>
    <xf numFmtId="168" fontId="5" fillId="9" borderId="49" xfId="0" applyNumberFormat="1" applyFont="1" applyFill="1" applyBorder="1" applyAlignment="1" applyProtection="1">
      <alignment horizontal="center" wrapText="1"/>
      <protection hidden="1"/>
    </xf>
    <xf numFmtId="0" fontId="5" fillId="9" borderId="28" xfId="0" applyFont="1" applyFill="1" applyBorder="1" applyAlignment="1" applyProtection="1">
      <alignment horizontal="center" wrapText="1"/>
      <protection hidden="1"/>
    </xf>
    <xf numFmtId="0" fontId="5" fillId="9" borderId="29" xfId="0" applyFont="1" applyFill="1" applyBorder="1" applyAlignment="1" applyProtection="1">
      <alignment horizontal="center" wrapText="1"/>
      <protection hidden="1"/>
    </xf>
    <xf numFmtId="0" fontId="5" fillId="9" borderId="32" xfId="0" applyFont="1" applyFill="1" applyBorder="1" applyAlignment="1" applyProtection="1">
      <alignment horizontal="center" wrapText="1"/>
      <protection hidden="1"/>
    </xf>
    <xf numFmtId="0" fontId="5" fillId="9" borderId="33" xfId="0" applyFont="1" applyFill="1" applyBorder="1" applyAlignment="1" applyProtection="1">
      <alignment horizontal="center" wrapText="1"/>
      <protection hidden="1"/>
    </xf>
    <xf numFmtId="0" fontId="5" fillId="9" borderId="34" xfId="0" applyFont="1" applyFill="1" applyBorder="1" applyAlignment="1" applyProtection="1">
      <alignment horizontal="center" wrapText="1"/>
      <protection hidden="1"/>
    </xf>
    <xf numFmtId="0" fontId="5" fillId="2" borderId="18" xfId="0" applyFont="1" applyFill="1" applyBorder="1" applyAlignment="1" applyProtection="1">
      <alignment horizontal="center"/>
      <protection hidden="1"/>
    </xf>
    <xf numFmtId="0" fontId="5" fillId="0" borderId="11" xfId="0" applyFont="1" applyBorder="1"/>
    <xf numFmtId="0" fontId="5" fillId="0" borderId="12" xfId="0" applyFont="1" applyBorder="1"/>
    <xf numFmtId="0" fontId="38" fillId="15" borderId="0" xfId="0" applyFont="1" applyFill="1" applyAlignment="1" applyProtection="1">
      <alignment horizontal="center" wrapText="1"/>
      <protection hidden="1"/>
    </xf>
    <xf numFmtId="0" fontId="38" fillId="15" borderId="0" xfId="0" applyFont="1" applyFill="1" applyAlignment="1">
      <alignment horizontal="center" wrapText="1"/>
    </xf>
    <xf numFmtId="0" fontId="29" fillId="16" borderId="0" xfId="0" applyFont="1" applyFill="1" applyAlignment="1" applyProtection="1">
      <protection hidden="1"/>
    </xf>
    <xf numFmtId="0" fontId="29" fillId="16" borderId="0" xfId="0" applyFont="1" applyFill="1" applyAlignment="1"/>
    <xf numFmtId="0" fontId="29" fillId="5" borderId="0" xfId="0" applyFont="1" applyFill="1" applyAlignment="1">
      <alignment horizontal="center"/>
    </xf>
    <xf numFmtId="168" fontId="29" fillId="5" borderId="0" xfId="0" applyNumberFormat="1" applyFont="1" applyFill="1" applyAlignment="1" applyProtection="1">
      <alignment horizontal="center"/>
      <protection hidden="1"/>
    </xf>
    <xf numFmtId="1" fontId="29" fillId="16" borderId="0" xfId="0" applyNumberFormat="1" applyFont="1" applyFill="1" applyAlignment="1" applyProtection="1">
      <alignment horizontal="center" vertical="center"/>
      <protection hidden="1"/>
    </xf>
    <xf numFmtId="0" fontId="5" fillId="0" borderId="0" xfId="0" applyFont="1" applyAlignment="1">
      <alignment horizontal="center" vertical="center"/>
    </xf>
    <xf numFmtId="0" fontId="5" fillId="11" borderId="20" xfId="0" applyFont="1" applyFill="1" applyBorder="1" applyAlignment="1" applyProtection="1">
      <protection hidden="1"/>
    </xf>
    <xf numFmtId="0" fontId="5" fillId="0" borderId="21" xfId="0" applyFont="1" applyBorder="1" applyAlignment="1"/>
    <xf numFmtId="0" fontId="49" fillId="29" borderId="50" xfId="2" applyFont="1" applyFill="1" applyBorder="1" applyAlignment="1" applyProtection="1">
      <alignment horizontal="center" vertical="center"/>
      <protection hidden="1"/>
    </xf>
    <xf numFmtId="0" fontId="49" fillId="29" borderId="51" xfId="2" applyFont="1" applyFill="1" applyBorder="1" applyAlignment="1" applyProtection="1">
      <alignment horizontal="center" vertical="center"/>
      <protection hidden="1"/>
    </xf>
    <xf numFmtId="0" fontId="49" fillId="29" borderId="52" xfId="2" applyFont="1" applyFill="1" applyBorder="1" applyAlignment="1" applyProtection="1">
      <alignment horizontal="center" vertical="center"/>
      <protection hidden="1"/>
    </xf>
    <xf numFmtId="168" fontId="5" fillId="0" borderId="0" xfId="0" applyNumberFormat="1" applyFont="1" applyAlignment="1" applyProtection="1">
      <alignment horizontal="center"/>
      <protection hidden="1"/>
    </xf>
    <xf numFmtId="0" fontId="27" fillId="9" borderId="42" xfId="0" applyFont="1" applyFill="1" applyBorder="1" applyAlignment="1" applyProtection="1">
      <alignment horizontal="center" vertical="center"/>
      <protection hidden="1"/>
    </xf>
    <xf numFmtId="0" fontId="27" fillId="0" borderId="42" xfId="0" applyFont="1" applyBorder="1" applyAlignment="1">
      <alignment horizontal="center" vertical="center"/>
    </xf>
    <xf numFmtId="0" fontId="80" fillId="0" borderId="42" xfId="0" applyFont="1" applyBorder="1" applyAlignment="1"/>
    <xf numFmtId="0" fontId="5" fillId="11" borderId="18" xfId="0" applyFont="1" applyFill="1" applyBorder="1" applyAlignment="1" applyProtection="1">
      <alignment horizontal="left" wrapText="1"/>
      <protection hidden="1"/>
    </xf>
    <xf numFmtId="0" fontId="5" fillId="0" borderId="18" xfId="0" applyFont="1" applyBorder="1"/>
    <xf numFmtId="0" fontId="5" fillId="11" borderId="9" xfId="0" applyFont="1" applyFill="1" applyBorder="1" applyAlignment="1" applyProtection="1">
      <protection hidden="1"/>
    </xf>
    <xf numFmtId="0" fontId="5" fillId="0" borderId="5" xfId="0" applyFont="1" applyBorder="1"/>
    <xf numFmtId="0" fontId="5" fillId="0" borderId="6" xfId="0" applyFont="1" applyBorder="1"/>
    <xf numFmtId="0" fontId="5" fillId="0" borderId="7" xfId="0" applyFont="1" applyBorder="1"/>
    <xf numFmtId="0" fontId="5" fillId="11" borderId="18" xfId="0" applyFont="1" applyFill="1" applyBorder="1" applyAlignment="1">
      <alignment horizontal="left" wrapText="1"/>
    </xf>
    <xf numFmtId="1" fontId="5" fillId="0" borderId="0" xfId="0" applyNumberFormat="1" applyFont="1" applyAlignment="1" applyProtection="1">
      <alignment horizontal="center"/>
      <protection hidden="1"/>
    </xf>
    <xf numFmtId="1" fontId="5" fillId="0" borderId="0" xfId="0" applyNumberFormat="1" applyFont="1" applyAlignment="1">
      <alignment horizontal="center"/>
    </xf>
    <xf numFmtId="0" fontId="5" fillId="0" borderId="6" xfId="0" applyFont="1" applyBorder="1" applyAlignment="1" applyProtection="1">
      <protection hidden="1"/>
    </xf>
    <xf numFmtId="0" fontId="5" fillId="0" borderId="8" xfId="0" applyFont="1" applyBorder="1" applyAlignment="1"/>
    <xf numFmtId="168" fontId="5" fillId="0" borderId="9" xfId="0" applyNumberFormat="1" applyFont="1" applyBorder="1" applyAlignment="1" applyProtection="1">
      <alignment horizontal="center"/>
      <protection hidden="1"/>
    </xf>
    <xf numFmtId="168" fontId="5" fillId="0" borderId="4" xfId="0" applyNumberFormat="1" applyFont="1" applyBorder="1" applyAlignment="1"/>
    <xf numFmtId="168" fontId="5" fillId="0" borderId="8" xfId="0" applyNumberFormat="1" applyFont="1" applyBorder="1" applyAlignment="1" applyProtection="1">
      <alignment horizontal="center"/>
      <protection hidden="1"/>
    </xf>
    <xf numFmtId="0" fontId="5" fillId="0" borderId="8" xfId="0" applyFont="1" applyBorder="1" applyAlignment="1" applyProtection="1">
      <alignment horizontal="center"/>
      <protection hidden="1"/>
    </xf>
    <xf numFmtId="0" fontId="5" fillId="0" borderId="7" xfId="0" applyFont="1" applyBorder="1" applyAlignment="1" applyProtection="1">
      <alignment horizontal="center"/>
      <protection hidden="1"/>
    </xf>
    <xf numFmtId="1" fontId="5" fillId="0" borderId="8" xfId="0" applyNumberFormat="1" applyFont="1" applyBorder="1" applyAlignment="1" applyProtection="1">
      <alignment horizontal="right"/>
      <protection hidden="1"/>
    </xf>
    <xf numFmtId="1" fontId="5" fillId="0" borderId="8" xfId="0" applyNumberFormat="1" applyFont="1" applyBorder="1" applyAlignment="1">
      <alignment horizontal="right"/>
    </xf>
    <xf numFmtId="172" fontId="106" fillId="35" borderId="4" xfId="0" applyNumberFormat="1" applyFont="1" applyFill="1" applyBorder="1" applyAlignment="1" applyProtection="1">
      <alignment horizontal="center"/>
      <protection hidden="1"/>
    </xf>
    <xf numFmtId="172" fontId="106" fillId="0" borderId="5" xfId="0" applyNumberFormat="1" applyFont="1" applyBorder="1" applyAlignment="1"/>
    <xf numFmtId="0" fontId="49" fillId="29" borderId="53" xfId="2" applyFont="1" applyFill="1" applyBorder="1" applyAlignment="1" applyProtection="1">
      <alignment horizontal="center" vertical="center"/>
      <protection hidden="1"/>
    </xf>
    <xf numFmtId="0" fontId="49" fillId="29" borderId="54" xfId="2" applyFont="1" applyFill="1" applyBorder="1" applyAlignment="1" applyProtection="1">
      <alignment horizontal="center" vertical="center"/>
      <protection hidden="1"/>
    </xf>
    <xf numFmtId="0" fontId="49" fillId="29" borderId="55" xfId="2" applyFont="1" applyFill="1" applyBorder="1" applyAlignment="1" applyProtection="1">
      <alignment horizontal="center" vertical="center"/>
      <protection hidden="1"/>
    </xf>
    <xf numFmtId="0" fontId="84" fillId="37" borderId="57" xfId="0" applyFont="1" applyFill="1" applyBorder="1" applyAlignment="1" applyProtection="1">
      <alignment horizontal="center"/>
      <protection hidden="1"/>
    </xf>
    <xf numFmtId="0" fontId="84" fillId="37" borderId="58" xfId="0" applyFont="1" applyFill="1" applyBorder="1" applyAlignment="1">
      <alignment horizontal="center"/>
    </xf>
    <xf numFmtId="0" fontId="5" fillId="11" borderId="18" xfId="0" applyFont="1" applyFill="1" applyBorder="1" applyAlignment="1" applyProtection="1">
      <protection hidden="1"/>
    </xf>
    <xf numFmtId="0" fontId="5" fillId="11" borderId="11" xfId="0" applyFont="1" applyFill="1" applyBorder="1" applyAlignment="1"/>
    <xf numFmtId="1" fontId="5" fillId="0" borderId="8" xfId="0" applyNumberFormat="1" applyFont="1" applyBorder="1" applyAlignment="1" applyProtection="1">
      <alignment horizontal="left"/>
      <protection hidden="1"/>
    </xf>
    <xf numFmtId="0" fontId="5" fillId="0" borderId="8" xfId="0" applyFont="1" applyBorder="1" applyAlignment="1">
      <alignment horizontal="left"/>
    </xf>
    <xf numFmtId="168" fontId="5" fillId="0" borderId="8" xfId="0" applyNumberFormat="1" applyFont="1" applyBorder="1" applyAlignment="1" applyProtection="1">
      <alignment horizontal="left"/>
      <protection hidden="1"/>
    </xf>
    <xf numFmtId="168" fontId="5" fillId="0" borderId="7" xfId="0" applyNumberFormat="1" applyFont="1" applyBorder="1" applyAlignment="1" applyProtection="1">
      <alignment horizontal="left"/>
      <protection hidden="1"/>
    </xf>
    <xf numFmtId="1" fontId="5" fillId="0" borderId="8" xfId="0" applyNumberFormat="1" applyFont="1" applyBorder="1" applyAlignment="1" applyProtection="1">
      <protection hidden="1"/>
    </xf>
    <xf numFmtId="0" fontId="48" fillId="15" borderId="0" xfId="0" applyFont="1" applyFill="1" applyAlignment="1" applyProtection="1">
      <protection hidden="1"/>
    </xf>
    <xf numFmtId="0" fontId="5" fillId="45" borderId="42" xfId="0" applyFont="1" applyFill="1" applyBorder="1" applyAlignment="1" applyProtection="1">
      <alignment horizontal="center" vertical="center"/>
      <protection hidden="1"/>
    </xf>
    <xf numFmtId="168" fontId="5" fillId="0" borderId="6" xfId="0" applyNumberFormat="1" applyFont="1" applyBorder="1" applyAlignment="1" applyProtection="1">
      <protection hidden="1"/>
    </xf>
    <xf numFmtId="0" fontId="5" fillId="0" borderId="7" xfId="0" applyFont="1" applyBorder="1" applyAlignment="1">
      <alignment horizontal="center"/>
    </xf>
    <xf numFmtId="0" fontId="5" fillId="0" borderId="59" xfId="0" applyFont="1" applyBorder="1" applyAlignment="1" applyProtection="1">
      <alignment horizontal="center"/>
      <protection hidden="1"/>
    </xf>
    <xf numFmtId="0" fontId="5" fillId="0" borderId="38" xfId="0" applyFont="1" applyBorder="1" applyAlignment="1" applyProtection="1">
      <alignment horizontal="center"/>
      <protection hidden="1"/>
    </xf>
    <xf numFmtId="168" fontId="5" fillId="0" borderId="6" xfId="0" applyNumberFormat="1" applyFont="1" applyBorder="1" applyAlignment="1" applyProtection="1">
      <alignment horizontal="center"/>
      <protection hidden="1"/>
    </xf>
    <xf numFmtId="0" fontId="5" fillId="0" borderId="8" xfId="0" applyFont="1" applyBorder="1" applyAlignment="1">
      <alignment horizontal="right"/>
    </xf>
    <xf numFmtId="0" fontId="5" fillId="0" borderId="7" xfId="0" applyFont="1" applyBorder="1" applyAlignment="1">
      <alignment horizontal="right"/>
    </xf>
    <xf numFmtId="168" fontId="5" fillId="0" borderId="38" xfId="0" applyNumberFormat="1" applyFont="1" applyBorder="1" applyAlignment="1" applyProtection="1">
      <protection hidden="1"/>
    </xf>
    <xf numFmtId="0" fontId="5" fillId="0" borderId="56" xfId="0" applyFont="1" applyBorder="1" applyAlignment="1" applyProtection="1">
      <protection hidden="1"/>
    </xf>
    <xf numFmtId="1" fontId="38" fillId="15" borderId="0" xfId="0" applyNumberFormat="1" applyFont="1" applyFill="1" applyAlignment="1">
      <alignment horizontal="center"/>
    </xf>
    <xf numFmtId="168" fontId="38" fillId="15" borderId="0" xfId="0" applyNumberFormat="1" applyFont="1" applyFill="1" applyAlignment="1">
      <alignment horizontal="center"/>
    </xf>
    <xf numFmtId="0" fontId="65" fillId="4" borderId="0" xfId="2" applyFont="1" applyFill="1" applyAlignment="1" applyProtection="1">
      <alignment horizontal="center"/>
    </xf>
    <xf numFmtId="0" fontId="65" fillId="4" borderId="0" xfId="2" applyFont="1" applyFill="1" applyAlignment="1" applyProtection="1"/>
    <xf numFmtId="0" fontId="8" fillId="11" borderId="26" xfId="0" applyFont="1" applyFill="1" applyBorder="1" applyAlignment="1" applyProtection="1">
      <alignment horizontal="center"/>
      <protection hidden="1"/>
    </xf>
    <xf numFmtId="0" fontId="8" fillId="0" borderId="0" xfId="0" applyFont="1" applyAlignment="1">
      <alignment horizontal="center"/>
    </xf>
    <xf numFmtId="0" fontId="8" fillId="0" borderId="26" xfId="0" applyFont="1" applyBorder="1" applyAlignment="1">
      <alignment horizontal="center"/>
    </xf>
    <xf numFmtId="0" fontId="5" fillId="27" borderId="23" xfId="0" applyFont="1" applyFill="1" applyBorder="1" applyAlignment="1" applyProtection="1">
      <alignment horizontal="center"/>
      <protection hidden="1"/>
    </xf>
    <xf numFmtId="0" fontId="5" fillId="0" borderId="23" xfId="0" applyFont="1" applyBorder="1" applyAlignment="1">
      <alignment horizontal="center"/>
    </xf>
    <xf numFmtId="0" fontId="5" fillId="27" borderId="0" xfId="0" applyFont="1" applyFill="1" applyAlignment="1" applyProtection="1">
      <alignment shrinkToFit="1"/>
      <protection hidden="1"/>
    </xf>
    <xf numFmtId="0" fontId="5" fillId="0" borderId="0" xfId="0" applyFont="1" applyAlignment="1">
      <alignment shrinkToFit="1"/>
    </xf>
    <xf numFmtId="0" fontId="104" fillId="14" borderId="0" xfId="0" applyFont="1" applyFill="1" applyAlignment="1" applyProtection="1">
      <alignment horizontal="center"/>
      <protection hidden="1"/>
    </xf>
    <xf numFmtId="0" fontId="104" fillId="0" borderId="0" xfId="0" applyFont="1" applyAlignment="1">
      <alignment horizontal="center"/>
    </xf>
    <xf numFmtId="49" fontId="114" fillId="3" borderId="9" xfId="0" applyNumberFormat="1" applyFont="1" applyFill="1" applyBorder="1" applyAlignment="1" applyProtection="1">
      <alignment horizontal="center"/>
      <protection hidden="1"/>
    </xf>
    <xf numFmtId="0" fontId="114" fillId="3" borderId="4" xfId="0" applyFont="1" applyFill="1" applyBorder="1" applyAlignment="1" applyProtection="1">
      <protection hidden="1"/>
    </xf>
    <xf numFmtId="0" fontId="114" fillId="3" borderId="5" xfId="0" applyFont="1" applyFill="1" applyBorder="1" applyAlignment="1" applyProtection="1">
      <protection hidden="1"/>
    </xf>
    <xf numFmtId="0" fontId="114" fillId="3" borderId="6" xfId="0" applyFont="1" applyFill="1" applyBorder="1" applyAlignment="1" applyProtection="1">
      <protection hidden="1"/>
    </xf>
    <xf numFmtId="0" fontId="114" fillId="3" borderId="8" xfId="0" applyFont="1" applyFill="1" applyBorder="1" applyAlignment="1" applyProtection="1">
      <protection hidden="1"/>
    </xf>
    <xf numFmtId="0" fontId="114" fillId="3" borderId="7" xfId="0" applyFont="1" applyFill="1" applyBorder="1" applyAlignment="1" applyProtection="1">
      <protection hidden="1"/>
    </xf>
    <xf numFmtId="168" fontId="27" fillId="0" borderId="0" xfId="0" applyNumberFormat="1" applyFont="1" applyAlignment="1" applyProtection="1">
      <alignment horizontal="center"/>
      <protection hidden="1"/>
    </xf>
    <xf numFmtId="0" fontId="80" fillId="0" borderId="0" xfId="0" applyFont="1" applyAlignment="1">
      <alignment horizontal="center"/>
    </xf>
    <xf numFmtId="0" fontId="12" fillId="0" borderId="0" xfId="0" applyFont="1" applyAlignment="1" applyProtection="1">
      <alignment horizontal="center"/>
      <protection hidden="1"/>
    </xf>
    <xf numFmtId="168" fontId="12" fillId="41" borderId="0" xfId="0" applyNumberFormat="1" applyFont="1" applyFill="1" applyAlignment="1" applyProtection="1">
      <alignment horizontal="center"/>
      <protection hidden="1"/>
    </xf>
    <xf numFmtId="168" fontId="0" fillId="41" borderId="0" xfId="0" applyNumberFormat="1" applyFill="1" applyAlignment="1">
      <alignment horizontal="center"/>
    </xf>
    <xf numFmtId="15" fontId="12" fillId="0" borderId="0" xfId="0" applyNumberFormat="1" applyFont="1" applyAlignment="1" applyProtection="1">
      <alignment horizontal="center"/>
      <protection hidden="1"/>
    </xf>
    <xf numFmtId="0" fontId="0" fillId="0" borderId="0" xfId="0" applyAlignment="1">
      <alignment horizontal="center"/>
    </xf>
    <xf numFmtId="16" fontId="78" fillId="0" borderId="0" xfId="0" applyNumberFormat="1" applyFont="1" applyAlignment="1" applyProtection="1">
      <alignment horizontal="center"/>
      <protection hidden="1"/>
    </xf>
    <xf numFmtId="0" fontId="81" fillId="0" borderId="0" xfId="0" applyFont="1" applyAlignment="1">
      <alignment horizontal="center"/>
    </xf>
    <xf numFmtId="0" fontId="12" fillId="0" borderId="0" xfId="0" applyFont="1" applyBorder="1" applyAlignment="1" applyProtection="1">
      <alignment horizontal="left"/>
      <protection hidden="1"/>
    </xf>
    <xf numFmtId="168" fontId="12" fillId="0" borderId="0" xfId="0" applyNumberFormat="1" applyFont="1" applyBorder="1" applyAlignment="1" applyProtection="1">
      <alignment horizontal="center"/>
      <protection hidden="1"/>
    </xf>
    <xf numFmtId="0" fontId="12" fillId="0" borderId="0" xfId="0" applyFont="1" applyAlignment="1" applyProtection="1">
      <alignment horizontal="left"/>
      <protection hidden="1"/>
    </xf>
    <xf numFmtId="0" fontId="0" fillId="0" borderId="0" xfId="0" applyAlignment="1"/>
    <xf numFmtId="14" fontId="12" fillId="0" borderId="0" xfId="0" applyNumberFormat="1" applyFont="1" applyBorder="1" applyAlignment="1" applyProtection="1">
      <alignment horizontal="center"/>
      <protection hidden="1"/>
    </xf>
    <xf numFmtId="169" fontId="12" fillId="0" borderId="0" xfId="0" applyNumberFormat="1" applyFont="1" applyBorder="1" applyAlignment="1" applyProtection="1">
      <alignment horizontal="center"/>
      <protection hidden="1"/>
    </xf>
    <xf numFmtId="16" fontId="12" fillId="0" borderId="0" xfId="0" applyNumberFormat="1" applyFont="1" applyBorder="1" applyAlignment="1" applyProtection="1">
      <alignment horizontal="center"/>
      <protection hidden="1"/>
    </xf>
    <xf numFmtId="0" fontId="5" fillId="13" borderId="65" xfId="0" applyFont="1" applyFill="1" applyBorder="1" applyAlignment="1" applyProtection="1">
      <alignment horizontal="center" vertical="center" textRotation="90"/>
      <protection locked="0" hidden="1"/>
    </xf>
    <xf numFmtId="0" fontId="4" fillId="13" borderId="64" xfId="0" applyFont="1" applyFill="1" applyBorder="1" applyAlignment="1">
      <alignment horizontal="center" vertical="center"/>
    </xf>
    <xf numFmtId="0" fontId="4" fillId="13" borderId="67" xfId="0" applyFont="1" applyFill="1" applyBorder="1" applyAlignment="1">
      <alignment horizontal="center" vertical="center"/>
    </xf>
    <xf numFmtId="0" fontId="4" fillId="13" borderId="66" xfId="0" applyFont="1" applyFill="1" applyBorder="1" applyAlignment="1">
      <alignment horizontal="center" vertical="center"/>
    </xf>
    <xf numFmtId="0" fontId="5" fillId="13" borderId="68" xfId="0" applyFont="1" applyFill="1" applyBorder="1" applyAlignment="1" applyProtection="1">
      <alignment horizontal="center" vertical="center" textRotation="90"/>
      <protection locked="0" hidden="1"/>
    </xf>
    <xf numFmtId="14" fontId="23" fillId="0" borderId="0" xfId="0" applyNumberFormat="1" applyFont="1" applyBorder="1" applyProtection="1">
      <protection hidden="1"/>
    </xf>
    <xf numFmtId="0" fontId="33" fillId="13" borderId="68" xfId="0" applyFont="1" applyFill="1" applyBorder="1" applyAlignment="1" applyProtection="1">
      <alignment horizontal="center" vertical="center" textRotation="90"/>
      <protection locked="0" hidden="1"/>
    </xf>
    <xf numFmtId="0" fontId="117" fillId="13" borderId="64" xfId="0" applyFont="1" applyFill="1" applyBorder="1" applyAlignment="1">
      <alignment horizontal="center" vertical="center"/>
    </xf>
    <xf numFmtId="0" fontId="117" fillId="13" borderId="66" xfId="0" applyFont="1" applyFill="1" applyBorder="1" applyAlignment="1">
      <alignment horizontal="center" vertical="center"/>
    </xf>
    <xf numFmtId="0" fontId="31" fillId="0" borderId="0" xfId="0" applyFont="1" applyBorder="1" applyAlignment="1" applyProtection="1">
      <alignment horizontal="left"/>
      <protection hidden="1"/>
    </xf>
    <xf numFmtId="0" fontId="80" fillId="0" borderId="0" xfId="0" applyFont="1" applyAlignment="1" applyProtection="1">
      <protection hidden="1"/>
    </xf>
    <xf numFmtId="0" fontId="31" fillId="0" borderId="0" xfId="0" applyFont="1" applyBorder="1" applyAlignment="1" applyProtection="1">
      <alignment horizontal="center"/>
      <protection hidden="1"/>
    </xf>
    <xf numFmtId="168" fontId="12" fillId="0" borderId="0" xfId="0" applyNumberFormat="1" applyFont="1" applyBorder="1" applyAlignment="1" applyProtection="1">
      <protection hidden="1"/>
    </xf>
    <xf numFmtId="0" fontId="28" fillId="0" borderId="0" xfId="0" applyFont="1" applyAlignment="1" applyProtection="1">
      <alignment horizontal="center" wrapText="1"/>
      <protection hidden="1"/>
    </xf>
    <xf numFmtId="168" fontId="80" fillId="0" borderId="0" xfId="0" applyNumberFormat="1" applyFont="1" applyAlignment="1" applyProtection="1">
      <alignment horizontal="center"/>
      <protection hidden="1"/>
    </xf>
    <xf numFmtId="0" fontId="80" fillId="0" borderId="0" xfId="0" applyFont="1" applyAlignment="1" applyProtection="1">
      <alignment horizontal="center"/>
      <protection hidden="1"/>
    </xf>
    <xf numFmtId="1" fontId="0" fillId="0" borderId="0" xfId="0" applyNumberFormat="1" applyAlignment="1"/>
    <xf numFmtId="0" fontId="33" fillId="13" borderId="65" xfId="0" applyFont="1" applyFill="1" applyBorder="1" applyAlignment="1" applyProtection="1">
      <alignment horizontal="center" vertical="center" textRotation="90"/>
      <protection locked="0" hidden="1"/>
    </xf>
    <xf numFmtId="0" fontId="14" fillId="0" borderId="0" xfId="0" applyFont="1" applyBorder="1" applyAlignment="1" applyProtection="1">
      <alignment horizontal="center"/>
      <protection hidden="1"/>
    </xf>
    <xf numFmtId="0" fontId="116" fillId="0" borderId="0" xfId="0" applyFont="1" applyAlignment="1" applyProtection="1">
      <alignment horizontal="center"/>
      <protection hidden="1"/>
    </xf>
    <xf numFmtId="0" fontId="27" fillId="0" borderId="0" xfId="0" applyFont="1" applyAlignment="1" applyProtection="1">
      <alignment horizontal="center"/>
      <protection hidden="1"/>
    </xf>
    <xf numFmtId="168" fontId="116" fillId="0" borderId="0" xfId="0" applyNumberFormat="1" applyFont="1" applyAlignment="1" applyProtection="1">
      <alignment horizontal="center"/>
      <protection hidden="1"/>
    </xf>
    <xf numFmtId="168" fontId="102" fillId="0" borderId="0" xfId="0" applyNumberFormat="1" applyFont="1" applyAlignment="1" applyProtection="1">
      <alignment horizontal="center"/>
      <protection hidden="1"/>
    </xf>
    <xf numFmtId="0" fontId="102" fillId="0" borderId="0" xfId="0" applyFont="1" applyAlignment="1" applyProtection="1">
      <alignment horizontal="center"/>
      <protection hidden="1"/>
    </xf>
    <xf numFmtId="0" fontId="0" fillId="0" borderId="0" xfId="0"/>
    <xf numFmtId="0" fontId="21" fillId="0" borderId="0" xfId="0" applyFont="1" applyAlignment="1">
      <alignment horizontal="center"/>
    </xf>
    <xf numFmtId="14" fontId="10" fillId="0" borderId="0" xfId="0" applyNumberFormat="1" applyFont="1" applyBorder="1" applyAlignment="1" applyProtection="1">
      <alignment horizontal="center"/>
      <protection hidden="1"/>
    </xf>
    <xf numFmtId="14" fontId="21" fillId="0" borderId="0" xfId="0" applyNumberFormat="1" applyFont="1" applyBorder="1" applyAlignment="1" applyProtection="1">
      <alignment horizontal="center"/>
      <protection hidden="1"/>
    </xf>
    <xf numFmtId="15" fontId="12" fillId="0" borderId="0" xfId="0" applyNumberFormat="1" applyFont="1" applyBorder="1" applyAlignment="1" applyProtection="1">
      <alignment horizontal="center"/>
      <protection hidden="1"/>
    </xf>
    <xf numFmtId="14" fontId="13" fillId="0" borderId="0" xfId="0" applyNumberFormat="1" applyFont="1" applyBorder="1" applyAlignment="1" applyProtection="1">
      <alignment horizontal="center"/>
      <protection hidden="1"/>
    </xf>
    <xf numFmtId="49" fontId="12" fillId="0" borderId="0" xfId="0" applyNumberFormat="1" applyFont="1" applyBorder="1" applyAlignment="1" applyProtection="1">
      <alignment horizontal="center"/>
      <protection hidden="1"/>
    </xf>
    <xf numFmtId="0" fontId="6" fillId="21" borderId="18" xfId="0" applyFont="1" applyFill="1" applyBorder="1" applyAlignment="1" applyProtection="1">
      <alignment horizontal="center"/>
      <protection hidden="1"/>
    </xf>
    <xf numFmtId="0" fontId="6" fillId="21" borderId="11" xfId="0" applyFont="1" applyFill="1" applyBorder="1" applyAlignment="1" applyProtection="1">
      <alignment horizontal="center"/>
      <protection hidden="1"/>
    </xf>
    <xf numFmtId="0" fontId="9" fillId="0" borderId="11" xfId="0" applyFont="1" applyBorder="1" applyAlignment="1">
      <alignment horizontal="center"/>
    </xf>
    <xf numFmtId="0" fontId="9" fillId="0" borderId="12" xfId="0" applyFont="1" applyBorder="1" applyAlignment="1">
      <alignment horizontal="center"/>
    </xf>
    <xf numFmtId="15" fontId="33" fillId="0" borderId="0" xfId="0" applyNumberFormat="1" applyFont="1" applyAlignment="1" applyProtection="1">
      <alignment horizontal="center"/>
      <protection hidden="1"/>
    </xf>
    <xf numFmtId="0" fontId="117" fillId="0" borderId="0" xfId="0" applyFont="1" applyAlignment="1">
      <alignment horizontal="center"/>
    </xf>
    <xf numFmtId="168" fontId="62" fillId="6" borderId="0" xfId="0" applyNumberFormat="1" applyFont="1" applyFill="1" applyAlignment="1" applyProtection="1">
      <alignment horizontal="center"/>
      <protection hidden="1"/>
    </xf>
    <xf numFmtId="0" fontId="92" fillId="37" borderId="26" xfId="0" applyFont="1" applyFill="1" applyBorder="1" applyAlignment="1" applyProtection="1">
      <alignment horizontal="left"/>
      <protection hidden="1"/>
    </xf>
    <xf numFmtId="0" fontId="80" fillId="0" borderId="0" xfId="0" applyFont="1" applyAlignment="1"/>
    <xf numFmtId="0" fontId="10" fillId="0" borderId="0" xfId="0" applyFont="1" applyBorder="1" applyAlignment="1" applyProtection="1">
      <alignment horizontal="center"/>
      <protection hidden="1"/>
    </xf>
    <xf numFmtId="0" fontId="27" fillId="11" borderId="18" xfId="0" applyFont="1" applyFill="1" applyBorder="1" applyAlignment="1" applyProtection="1">
      <alignment horizontal="center" wrapText="1"/>
      <protection hidden="1"/>
    </xf>
    <xf numFmtId="0" fontId="80" fillId="11" borderId="11" xfId="0" applyFont="1" applyFill="1" applyBorder="1" applyAlignment="1" applyProtection="1">
      <alignment horizontal="center" wrapText="1"/>
      <protection hidden="1"/>
    </xf>
    <xf numFmtId="0" fontId="80" fillId="11" borderId="12" xfId="0" applyFont="1" applyFill="1" applyBorder="1" applyAlignment="1" applyProtection="1">
      <alignment horizontal="center" wrapText="1"/>
      <protection hidden="1"/>
    </xf>
    <xf numFmtId="0" fontId="92" fillId="0" borderId="0" xfId="0" applyFont="1" applyAlignment="1" applyProtection="1">
      <alignment horizontal="center" wrapText="1"/>
      <protection hidden="1"/>
    </xf>
    <xf numFmtId="0" fontId="8" fillId="10" borderId="18" xfId="0" applyFont="1" applyFill="1" applyBorder="1" applyAlignment="1" applyProtection="1">
      <alignment horizontal="center"/>
      <protection hidden="1"/>
    </xf>
    <xf numFmtId="0" fontId="119" fillId="0" borderId="11" xfId="0" applyFont="1" applyBorder="1" applyAlignment="1" applyProtection="1">
      <alignment horizontal="center"/>
      <protection hidden="1"/>
    </xf>
    <xf numFmtId="0" fontId="119" fillId="0" borderId="12" xfId="0" applyFont="1" applyBorder="1" applyAlignment="1" applyProtection="1">
      <alignment horizontal="center"/>
      <protection hidden="1"/>
    </xf>
    <xf numFmtId="49" fontId="8" fillId="10" borderId="44" xfId="0" applyNumberFormat="1" applyFont="1" applyFill="1" applyBorder="1" applyAlignment="1" applyProtection="1">
      <alignment horizontal="center"/>
      <protection hidden="1"/>
    </xf>
    <xf numFmtId="0" fontId="8" fillId="0" borderId="44" xfId="0" applyFont="1" applyBorder="1" applyAlignment="1" applyProtection="1">
      <alignment horizontal="center"/>
      <protection hidden="1"/>
    </xf>
    <xf numFmtId="0" fontId="8" fillId="0" borderId="45" xfId="0" applyFont="1" applyBorder="1" applyAlignment="1" applyProtection="1">
      <alignment horizontal="center"/>
      <protection hidden="1"/>
    </xf>
    <xf numFmtId="49" fontId="113" fillId="0" borderId="18" xfId="0" applyNumberFormat="1" applyFont="1" applyFill="1" applyBorder="1" applyAlignment="1" applyProtection="1">
      <alignment horizontal="center"/>
      <protection hidden="1"/>
    </xf>
    <xf numFmtId="0" fontId="120" fillId="0" borderId="11" xfId="0" applyFont="1" applyBorder="1"/>
    <xf numFmtId="0" fontId="120" fillId="0" borderId="12" xfId="0" applyFont="1" applyFill="1" applyBorder="1" applyAlignment="1" applyProtection="1">
      <alignment horizontal="center"/>
      <protection hidden="1"/>
    </xf>
    <xf numFmtId="14" fontId="7" fillId="0" borderId="0" xfId="0" applyNumberFormat="1" applyFont="1" applyBorder="1" applyAlignment="1" applyProtection="1">
      <alignment horizontal="center"/>
      <protection hidden="1"/>
    </xf>
    <xf numFmtId="170" fontId="12" fillId="0" borderId="0" xfId="0" applyNumberFormat="1" applyFont="1" applyBorder="1" applyAlignment="1" applyProtection="1">
      <alignment horizontal="center"/>
      <protection hidden="1"/>
    </xf>
    <xf numFmtId="0" fontId="117" fillId="13" borderId="67" xfId="0" applyFont="1" applyFill="1" applyBorder="1" applyAlignment="1">
      <alignment horizontal="center" vertical="center"/>
    </xf>
    <xf numFmtId="0" fontId="7" fillId="0" borderId="0" xfId="0" applyNumberFormat="1" applyFont="1" applyBorder="1" applyAlignment="1" applyProtection="1">
      <alignment horizontal="left"/>
      <protection hidden="1"/>
    </xf>
    <xf numFmtId="1" fontId="14" fillId="0" borderId="0" xfId="0" applyNumberFormat="1" applyFont="1" applyBorder="1" applyProtection="1">
      <protection hidden="1"/>
    </xf>
    <xf numFmtId="3" fontId="12" fillId="0" borderId="0" xfId="0" applyNumberFormat="1" applyFont="1" applyBorder="1" applyAlignment="1" applyProtection="1">
      <alignment horizontal="center"/>
      <protection hidden="1"/>
    </xf>
    <xf numFmtId="3" fontId="0" fillId="0" borderId="0" xfId="0" applyNumberFormat="1" applyAlignment="1">
      <alignment horizontal="center"/>
    </xf>
    <xf numFmtId="15" fontId="12" fillId="0" borderId="46" xfId="0" applyNumberFormat="1" applyFont="1" applyBorder="1" applyAlignment="1" applyProtection="1">
      <alignment horizontal="center"/>
      <protection hidden="1"/>
    </xf>
    <xf numFmtId="49" fontId="12" fillId="0" borderId="47" xfId="0" applyNumberFormat="1" applyFont="1" applyBorder="1" applyAlignment="1" applyProtection="1">
      <alignment horizontal="center"/>
      <protection hidden="1"/>
    </xf>
    <xf numFmtId="49" fontId="12" fillId="0" borderId="48" xfId="0" applyNumberFormat="1" applyFont="1" applyBorder="1" applyAlignment="1" applyProtection="1">
      <alignment horizontal="center"/>
      <protection hidden="1"/>
    </xf>
    <xf numFmtId="0" fontId="23" fillId="0" borderId="0" xfId="0" applyFont="1" applyBorder="1" applyProtection="1">
      <protection hidden="1"/>
    </xf>
    <xf numFmtId="0" fontId="26" fillId="0" borderId="0" xfId="0" applyFont="1" applyBorder="1" applyAlignment="1" applyProtection="1">
      <alignment horizontal="left"/>
      <protection hidden="1"/>
    </xf>
    <xf numFmtId="1" fontId="12" fillId="0" borderId="0" xfId="0" applyNumberFormat="1" applyFont="1" applyAlignment="1" applyProtection="1">
      <alignment horizontal="center"/>
      <protection hidden="1"/>
    </xf>
    <xf numFmtId="0" fontId="13" fillId="0" borderId="0" xfId="0" applyFont="1" applyAlignment="1" applyProtection="1">
      <alignment horizontal="center"/>
      <protection hidden="1"/>
    </xf>
    <xf numFmtId="14" fontId="19" fillId="0" borderId="0" xfId="0" applyNumberFormat="1" applyFont="1" applyBorder="1" applyAlignment="1" applyProtection="1">
      <alignment horizontal="center"/>
      <protection hidden="1"/>
    </xf>
    <xf numFmtId="168" fontId="25" fillId="0" borderId="0" xfId="0" applyNumberFormat="1" applyFont="1" applyAlignment="1" applyProtection="1">
      <alignment horizontal="center"/>
      <protection hidden="1"/>
    </xf>
    <xf numFmtId="14" fontId="83" fillId="41" borderId="0" xfId="8" applyNumberFormat="1" applyFont="1" applyFill="1" applyAlignment="1" applyProtection="1">
      <alignment horizontal="center"/>
      <protection hidden="1"/>
    </xf>
    <xf numFmtId="14" fontId="94" fillId="35" borderId="0" xfId="8" applyNumberFormat="1" applyFont="1" applyFill="1" applyAlignment="1" applyProtection="1">
      <alignment horizontal="center"/>
      <protection hidden="1"/>
    </xf>
    <xf numFmtId="14" fontId="83" fillId="55" borderId="0" xfId="8" applyNumberFormat="1" applyFont="1" applyFill="1" applyAlignment="1" applyProtection="1">
      <alignment horizontal="center"/>
      <protection hidden="1"/>
    </xf>
    <xf numFmtId="14" fontId="95" fillId="55" borderId="0" xfId="8" applyNumberFormat="1" applyFont="1" applyFill="1" applyAlignment="1" applyProtection="1">
      <alignment horizontal="center"/>
      <protection hidden="1"/>
    </xf>
    <xf numFmtId="14" fontId="96" fillId="47" borderId="0" xfId="8" applyNumberFormat="1" applyFont="1" applyFill="1" applyAlignment="1" applyProtection="1">
      <alignment horizontal="center"/>
      <protection hidden="1"/>
    </xf>
    <xf numFmtId="14" fontId="97" fillId="35" borderId="0" xfId="8" applyNumberFormat="1" applyFont="1" applyFill="1" applyAlignment="1" applyProtection="1">
      <alignment horizontal="center"/>
      <protection hidden="1"/>
    </xf>
    <xf numFmtId="14" fontId="10" fillId="0" borderId="0" xfId="8" applyNumberFormat="1" applyFont="1" applyFill="1" applyAlignment="1" applyProtection="1">
      <alignment horizontal="center"/>
      <protection hidden="1"/>
    </xf>
    <xf numFmtId="0" fontId="10" fillId="0" borderId="0" xfId="8" applyNumberFormat="1" applyFont="1" applyFill="1" applyAlignment="1" applyProtection="1">
      <alignment horizontal="center"/>
      <protection hidden="1"/>
    </xf>
    <xf numFmtId="0" fontId="4" fillId="0" borderId="0" xfId="8" applyNumberFormat="1" applyAlignment="1" applyProtection="1">
      <alignment horizontal="center"/>
      <protection hidden="1"/>
    </xf>
    <xf numFmtId="16" fontId="12" fillId="0" borderId="0" xfId="0" applyNumberFormat="1" applyFont="1" applyAlignment="1" applyProtection="1">
      <alignment horizontal="left"/>
      <protection hidden="1"/>
    </xf>
    <xf numFmtId="14" fontId="75" fillId="35" borderId="0" xfId="8" applyNumberFormat="1" applyFont="1" applyFill="1" applyAlignment="1" applyProtection="1">
      <alignment horizontal="center"/>
      <protection hidden="1"/>
    </xf>
    <xf numFmtId="0" fontId="75" fillId="35" borderId="0" xfId="8" applyNumberFormat="1" applyFont="1" applyFill="1" applyAlignment="1" applyProtection="1">
      <alignment horizontal="center"/>
      <protection hidden="1"/>
    </xf>
    <xf numFmtId="0" fontId="85" fillId="35" borderId="0" xfId="8" applyNumberFormat="1" applyFont="1" applyFill="1" applyAlignment="1" applyProtection="1">
      <alignment horizontal="center"/>
      <protection hidden="1"/>
    </xf>
    <xf numFmtId="14" fontId="96" fillId="41" borderId="0" xfId="8" applyNumberFormat="1" applyFont="1" applyFill="1" applyAlignment="1" applyProtection="1">
      <alignment horizontal="center"/>
      <protection hidden="1"/>
    </xf>
    <xf numFmtId="14" fontId="96" fillId="52" borderId="0" xfId="8" applyNumberFormat="1" applyFont="1" applyFill="1" applyAlignment="1" applyProtection="1">
      <alignment horizontal="center"/>
      <protection hidden="1"/>
    </xf>
    <xf numFmtId="0" fontId="96" fillId="47" borderId="0" xfId="8" applyFont="1" applyFill="1" applyAlignment="1" applyProtection="1">
      <alignment horizontal="center"/>
      <protection hidden="1"/>
    </xf>
    <xf numFmtId="14" fontId="97" fillId="50" borderId="0" xfId="8" applyNumberFormat="1" applyFont="1" applyFill="1" applyAlignment="1" applyProtection="1">
      <alignment horizontal="center"/>
      <protection hidden="1"/>
    </xf>
    <xf numFmtId="0" fontId="97" fillId="50" borderId="0" xfId="8" applyFont="1" applyFill="1" applyAlignment="1" applyProtection="1">
      <alignment horizontal="center"/>
      <protection hidden="1"/>
    </xf>
    <xf numFmtId="14" fontId="96" fillId="44" borderId="0" xfId="8" applyNumberFormat="1" applyFont="1" applyFill="1" applyAlignment="1" applyProtection="1">
      <alignment horizontal="center"/>
      <protection hidden="1"/>
    </xf>
    <xf numFmtId="0" fontId="96" fillId="44" borderId="0" xfId="8" applyFont="1" applyFill="1" applyAlignment="1" applyProtection="1">
      <alignment horizontal="center"/>
      <protection hidden="1"/>
    </xf>
    <xf numFmtId="0" fontId="96" fillId="41" borderId="0" xfId="8" applyFont="1" applyFill="1" applyAlignment="1" applyProtection="1">
      <alignment horizontal="center"/>
      <protection hidden="1"/>
    </xf>
    <xf numFmtId="0" fontId="97" fillId="35" borderId="0" xfId="8" applyFont="1" applyFill="1" applyAlignment="1" applyProtection="1">
      <alignment horizontal="center"/>
      <protection hidden="1"/>
    </xf>
    <xf numFmtId="14" fontId="96" fillId="0" borderId="0" xfId="8" applyNumberFormat="1" applyFont="1" applyFill="1" applyAlignment="1" applyProtection="1">
      <alignment horizontal="center"/>
      <protection hidden="1"/>
    </xf>
    <xf numFmtId="0" fontId="96" fillId="0" borderId="0" xfId="8" applyFont="1" applyFill="1" applyAlignment="1" applyProtection="1">
      <alignment horizontal="center"/>
      <protection hidden="1"/>
    </xf>
    <xf numFmtId="0" fontId="96" fillId="52" borderId="0" xfId="8" applyFont="1" applyFill="1" applyAlignment="1" applyProtection="1">
      <alignment horizontal="center"/>
      <protection hidden="1"/>
    </xf>
    <xf numFmtId="0" fontId="5" fillId="0" borderId="0" xfId="5" applyFont="1" applyAlignment="1" applyProtection="1">
      <alignment horizontal="center"/>
      <protection hidden="1"/>
    </xf>
    <xf numFmtId="0" fontId="3" fillId="0" borderId="0" xfId="10" applyAlignment="1">
      <alignment horizontal="center"/>
    </xf>
    <xf numFmtId="0" fontId="33" fillId="0" borderId="25" xfId="0" applyFont="1" applyBorder="1" applyAlignment="1" applyProtection="1">
      <alignment horizontal="center" vertical="center" textRotation="180"/>
      <protection hidden="1"/>
    </xf>
    <xf numFmtId="0" fontId="33" fillId="0" borderId="69" xfId="0" applyFont="1" applyBorder="1" applyAlignment="1">
      <alignment horizontal="center" vertical="center" textRotation="180"/>
    </xf>
    <xf numFmtId="0" fontId="33" fillId="0" borderId="70" xfId="0" applyFont="1" applyBorder="1" applyAlignment="1">
      <alignment horizontal="center" vertical="center" textRotation="180"/>
    </xf>
    <xf numFmtId="0" fontId="33" fillId="0" borderId="69" xfId="0" applyFont="1" applyBorder="1" applyAlignment="1" applyProtection="1">
      <alignment horizontal="center" vertical="center" textRotation="180"/>
      <protection hidden="1"/>
    </xf>
    <xf numFmtId="0" fontId="117" fillId="0" borderId="69" xfId="0" applyFont="1" applyBorder="1" applyAlignment="1">
      <alignment horizontal="center" vertical="center" textRotation="180"/>
    </xf>
    <xf numFmtId="0" fontId="117" fillId="0" borderId="70" xfId="0" applyFont="1" applyBorder="1" applyAlignment="1">
      <alignment horizontal="center" vertical="center" textRotation="180"/>
    </xf>
    <xf numFmtId="0" fontId="16" fillId="7" borderId="0" xfId="0" applyFont="1" applyFill="1" applyBorder="1" applyAlignment="1" applyProtection="1">
      <alignment horizontal="center"/>
      <protection hidden="1"/>
    </xf>
    <xf numFmtId="14" fontId="5" fillId="0" borderId="0" xfId="8" applyNumberFormat="1" applyFont="1" applyFill="1" applyAlignment="1" applyProtection="1">
      <alignment horizontal="center"/>
      <protection hidden="1"/>
    </xf>
    <xf numFmtId="0" fontId="5" fillId="0" borderId="0" xfId="8" applyNumberFormat="1" applyFont="1" applyFill="1" applyAlignment="1" applyProtection="1">
      <alignment horizontal="center"/>
      <protection hidden="1"/>
    </xf>
    <xf numFmtId="0" fontId="4" fillId="0" borderId="0" xfId="8" applyNumberFormat="1" applyFont="1" applyAlignment="1" applyProtection="1">
      <alignment horizontal="center"/>
      <protection hidden="1"/>
    </xf>
    <xf numFmtId="1" fontId="10" fillId="15" borderId="11" xfId="0" applyNumberFormat="1" applyFont="1" applyFill="1" applyBorder="1" applyAlignment="1">
      <alignment horizontal="center"/>
    </xf>
    <xf numFmtId="1" fontId="10" fillId="15" borderId="12" xfId="0" applyNumberFormat="1" applyFont="1" applyFill="1" applyBorder="1" applyAlignment="1">
      <alignment horizontal="center"/>
    </xf>
    <xf numFmtId="0" fontId="58" fillId="0" borderId="0" xfId="0" applyFont="1" applyBorder="1" applyAlignment="1">
      <alignment horizontal="center"/>
    </xf>
    <xf numFmtId="49" fontId="53" fillId="0" borderId="0" xfId="2" applyNumberFormat="1" applyFont="1" applyBorder="1" applyAlignment="1" applyProtection="1">
      <alignment horizontal="center"/>
    </xf>
    <xf numFmtId="0" fontId="53" fillId="0" borderId="0" xfId="2" applyFont="1" applyBorder="1" applyAlignment="1" applyProtection="1">
      <alignment horizontal="center"/>
    </xf>
    <xf numFmtId="0" fontId="62" fillId="5" borderId="47" xfId="0" applyFont="1" applyFill="1" applyBorder="1" applyAlignment="1">
      <alignment horizontal="center"/>
    </xf>
    <xf numFmtId="0" fontId="62" fillId="5" borderId="48" xfId="0" applyFont="1" applyFill="1" applyBorder="1" applyAlignment="1">
      <alignment horizontal="center"/>
    </xf>
    <xf numFmtId="0" fontId="62" fillId="5" borderId="46" xfId="0" applyFont="1" applyFill="1" applyBorder="1" applyAlignment="1">
      <alignment horizontal="center"/>
    </xf>
    <xf numFmtId="0" fontId="67" fillId="0" borderId="30" xfId="0" applyFont="1" applyBorder="1" applyAlignment="1">
      <alignment horizontal="center" vertical="center" shrinkToFit="1"/>
    </xf>
    <xf numFmtId="0" fontId="67" fillId="0" borderId="0" xfId="0" applyFont="1" applyBorder="1" applyAlignment="1">
      <alignment horizontal="center" vertical="center" shrinkToFit="1"/>
    </xf>
    <xf numFmtId="0" fontId="50" fillId="0" borderId="30" xfId="0" applyFont="1" applyBorder="1" applyAlignment="1">
      <alignment horizontal="center" vertical="center"/>
    </xf>
    <xf numFmtId="0" fontId="50" fillId="0" borderId="0" xfId="0" applyFont="1" applyBorder="1" applyAlignment="1">
      <alignment horizontal="center" vertical="center"/>
    </xf>
    <xf numFmtId="0" fontId="5" fillId="0" borderId="72" xfId="0" applyFont="1" applyBorder="1" applyAlignment="1">
      <alignment horizontal="center"/>
    </xf>
    <xf numFmtId="0" fontId="5" fillId="0" borderId="0" xfId="0" applyFont="1" applyBorder="1" applyAlignment="1">
      <alignment horizontal="center"/>
    </xf>
    <xf numFmtId="0" fontId="60" fillId="15" borderId="18" xfId="2" applyFont="1" applyFill="1" applyBorder="1" applyAlignment="1" applyProtection="1">
      <alignment horizontal="center"/>
    </xf>
    <xf numFmtId="0" fontId="60" fillId="15" borderId="11" xfId="2" applyFont="1" applyFill="1" applyBorder="1" applyAlignment="1" applyProtection="1">
      <alignment horizontal="center"/>
    </xf>
    <xf numFmtId="49" fontId="10" fillId="15" borderId="11" xfId="0" applyNumberFormat="1" applyFont="1" applyFill="1" applyBorder="1" applyAlignment="1"/>
    <xf numFmtId="0" fontId="10" fillId="15" borderId="12" xfId="0" applyFont="1" applyFill="1" applyBorder="1" applyAlignment="1"/>
    <xf numFmtId="0" fontId="27" fillId="26" borderId="8" xfId="0" applyFont="1" applyFill="1" applyBorder="1" applyAlignment="1">
      <alignment horizontal="center"/>
    </xf>
    <xf numFmtId="0" fontId="50" fillId="0" borderId="49" xfId="0" applyFont="1" applyBorder="1" applyAlignment="1">
      <alignment horizontal="center" vertical="center"/>
    </xf>
    <xf numFmtId="0" fontId="50" fillId="0" borderId="28" xfId="0" applyFont="1" applyBorder="1" applyAlignment="1">
      <alignment horizontal="center" vertical="center"/>
    </xf>
    <xf numFmtId="0" fontId="55" fillId="0" borderId="28" xfId="0" applyFont="1" applyBorder="1" applyAlignment="1">
      <alignment horizontal="center" vertical="center"/>
    </xf>
    <xf numFmtId="0" fontId="55" fillId="0" borderId="29" xfId="0" applyFont="1" applyBorder="1" applyAlignment="1">
      <alignment horizontal="center" vertical="center"/>
    </xf>
    <xf numFmtId="0" fontId="55" fillId="0" borderId="0" xfId="0" applyFont="1" applyBorder="1" applyAlignment="1">
      <alignment horizontal="center" vertical="center"/>
    </xf>
    <xf numFmtId="0" fontId="55" fillId="0" borderId="31" xfId="0" applyFont="1" applyBorder="1" applyAlignment="1">
      <alignment horizontal="center" vertical="center"/>
    </xf>
    <xf numFmtId="0" fontId="67" fillId="0" borderId="31" xfId="0" applyFont="1" applyBorder="1" applyAlignment="1">
      <alignment horizontal="center" vertical="center" shrinkToFit="1"/>
    </xf>
    <xf numFmtId="1" fontId="13" fillId="16" borderId="33" xfId="0" applyNumberFormat="1" applyFont="1" applyFill="1" applyBorder="1" applyAlignment="1">
      <alignment horizontal="right" vertical="center"/>
    </xf>
    <xf numFmtId="0" fontId="21" fillId="0" borderId="33" xfId="0" applyFont="1" applyBorder="1" applyAlignment="1">
      <alignment horizontal="right" vertical="center"/>
    </xf>
    <xf numFmtId="0" fontId="27" fillId="0" borderId="72" xfId="0" applyFont="1" applyBorder="1" applyAlignment="1"/>
    <xf numFmtId="0" fontId="27" fillId="0" borderId="0" xfId="0" applyFont="1" applyAlignment="1"/>
    <xf numFmtId="0" fontId="76" fillId="0" borderId="30" xfId="0" applyFont="1" applyFill="1" applyBorder="1" applyAlignment="1">
      <alignment horizontal="center" vertical="center"/>
    </xf>
    <xf numFmtId="0" fontId="76" fillId="0" borderId="0" xfId="0" applyFont="1" applyFill="1" applyBorder="1" applyAlignment="1">
      <alignment horizontal="center" vertical="center"/>
    </xf>
    <xf numFmtId="0" fontId="13" fillId="16" borderId="33" xfId="0" applyFont="1" applyFill="1" applyBorder="1" applyAlignment="1">
      <alignment horizontal="right" vertical="center"/>
    </xf>
    <xf numFmtId="0" fontId="27" fillId="0" borderId="32" xfId="0" applyFont="1" applyBorder="1" applyAlignment="1"/>
    <xf numFmtId="0" fontId="27" fillId="0" borderId="33" xfId="0" applyFont="1" applyBorder="1" applyAlignment="1"/>
    <xf numFmtId="16" fontId="10" fillId="0" borderId="28" xfId="0" applyNumberFormat="1" applyFont="1" applyBorder="1" applyAlignment="1"/>
    <xf numFmtId="0" fontId="10" fillId="0" borderId="28" xfId="0" applyFont="1" applyBorder="1" applyAlignment="1"/>
    <xf numFmtId="0" fontId="11" fillId="2" borderId="46" xfId="0" applyFont="1" applyFill="1" applyBorder="1" applyAlignment="1">
      <alignment horizontal="center" vertical="center"/>
    </xf>
    <xf numFmtId="0" fontId="11" fillId="2" borderId="47" xfId="0" applyFont="1" applyFill="1" applyBorder="1" applyAlignment="1">
      <alignment horizontal="center" vertical="center"/>
    </xf>
    <xf numFmtId="0" fontId="11" fillId="2" borderId="48" xfId="0" applyFont="1" applyFill="1" applyBorder="1" applyAlignment="1">
      <alignment horizontal="center" vertical="center"/>
    </xf>
    <xf numFmtId="0" fontId="11" fillId="2" borderId="19" xfId="0" applyFont="1" applyFill="1" applyBorder="1" applyAlignment="1">
      <alignment horizontal="center" vertical="center"/>
    </xf>
    <xf numFmtId="0" fontId="40" fillId="0" borderId="72" xfId="0" applyFont="1" applyBorder="1" applyAlignment="1">
      <alignment horizontal="center"/>
    </xf>
    <xf numFmtId="0" fontId="40" fillId="0" borderId="0" xfId="0" applyFont="1" applyAlignment="1">
      <alignment horizontal="center"/>
    </xf>
    <xf numFmtId="0" fontId="40" fillId="0" borderId="31" xfId="0" applyFont="1" applyBorder="1" applyAlignment="1">
      <alignment horizontal="center"/>
    </xf>
    <xf numFmtId="0" fontId="40" fillId="0" borderId="0" xfId="0" applyFont="1" applyBorder="1" applyAlignment="1">
      <alignment horizontal="center"/>
    </xf>
    <xf numFmtId="0" fontId="46" fillId="0" borderId="32" xfId="0" applyFont="1" applyBorder="1" applyAlignment="1">
      <alignment horizontal="center"/>
    </xf>
    <xf numFmtId="0" fontId="46" fillId="0" borderId="33" xfId="0" applyFont="1" applyBorder="1" applyAlignment="1">
      <alignment horizontal="center"/>
    </xf>
    <xf numFmtId="0" fontId="46" fillId="0" borderId="34" xfId="0" applyFont="1" applyBorder="1" applyAlignment="1">
      <alignment horizontal="center"/>
    </xf>
    <xf numFmtId="0" fontId="66" fillId="5" borderId="18" xfId="2" applyFont="1" applyFill="1" applyBorder="1" applyAlignment="1" applyProtection="1">
      <alignment horizontal="center"/>
    </xf>
    <xf numFmtId="0" fontId="66" fillId="5" borderId="11" xfId="2" applyFont="1" applyFill="1" applyBorder="1" applyAlignment="1" applyProtection="1">
      <alignment horizontal="center"/>
    </xf>
    <xf numFmtId="0" fontId="66" fillId="5" borderId="12" xfId="2" applyFont="1" applyFill="1" applyBorder="1" applyAlignment="1" applyProtection="1">
      <alignment horizontal="center"/>
    </xf>
    <xf numFmtId="0" fontId="65" fillId="4" borderId="18" xfId="2" applyFont="1" applyFill="1" applyBorder="1" applyAlignment="1" applyProtection="1">
      <alignment horizontal="center"/>
    </xf>
    <xf numFmtId="0" fontId="65" fillId="4" borderId="11" xfId="2" applyFont="1" applyFill="1" applyBorder="1" applyAlignment="1" applyProtection="1">
      <alignment horizontal="center"/>
    </xf>
    <xf numFmtId="0" fontId="65" fillId="4" borderId="12" xfId="2" applyFont="1" applyFill="1" applyBorder="1" applyAlignment="1" applyProtection="1">
      <alignment horizontal="center"/>
    </xf>
    <xf numFmtId="0" fontId="5" fillId="0" borderId="26" xfId="0" applyFont="1" applyBorder="1" applyAlignment="1">
      <alignment horizontal="center" vertical="top"/>
    </xf>
    <xf numFmtId="0" fontId="5" fillId="0" borderId="0" xfId="0" applyFont="1" applyBorder="1" applyAlignment="1">
      <alignment horizontal="center" vertical="top"/>
    </xf>
    <xf numFmtId="0" fontId="5" fillId="0" borderId="23" xfId="0" applyFont="1" applyBorder="1" applyAlignment="1">
      <alignment horizontal="center" vertical="top"/>
    </xf>
    <xf numFmtId="49" fontId="10" fillId="15" borderId="11" xfId="0" applyNumberFormat="1" applyFont="1" applyFill="1" applyBorder="1" applyAlignment="1">
      <alignment horizontal="center"/>
    </xf>
    <xf numFmtId="0" fontId="10" fillId="15" borderId="12" xfId="0" applyFont="1" applyFill="1" applyBorder="1" applyAlignment="1">
      <alignment horizontal="center"/>
    </xf>
    <xf numFmtId="0" fontId="6" fillId="0" borderId="72" xfId="0" applyFont="1" applyBorder="1" applyAlignment="1">
      <alignment horizontal="center"/>
    </xf>
    <xf numFmtId="0" fontId="6" fillId="0" borderId="0" xfId="0" applyFont="1" applyAlignment="1">
      <alignment horizontal="center"/>
    </xf>
    <xf numFmtId="0" fontId="6" fillId="0" borderId="31" xfId="0" applyFont="1" applyBorder="1" applyAlignment="1">
      <alignment horizontal="center"/>
    </xf>
    <xf numFmtId="0" fontId="9" fillId="0" borderId="32" xfId="0" applyFont="1" applyBorder="1" applyAlignment="1">
      <alignment horizontal="center"/>
    </xf>
    <xf numFmtId="0" fontId="9" fillId="0" borderId="33" xfId="0" applyFont="1" applyBorder="1" applyAlignment="1">
      <alignment horizontal="center"/>
    </xf>
    <xf numFmtId="0" fontId="9" fillId="0" borderId="34" xfId="0" applyFont="1" applyBorder="1" applyAlignment="1">
      <alignment horizontal="center"/>
    </xf>
    <xf numFmtId="168" fontId="24" fillId="0" borderId="0" xfId="0" applyNumberFormat="1" applyFont="1" applyAlignment="1" applyProtection="1">
      <alignment horizontal="center"/>
      <protection hidden="1"/>
    </xf>
    <xf numFmtId="0" fontId="5" fillId="0" borderId="72" xfId="0" applyFont="1" applyBorder="1" applyAlignment="1">
      <alignment horizontal="center" vertical="top"/>
    </xf>
    <xf numFmtId="0" fontId="56" fillId="0" borderId="0" xfId="0" applyFont="1" applyBorder="1" applyAlignment="1">
      <alignment horizontal="center"/>
    </xf>
    <xf numFmtId="0" fontId="57" fillId="0" borderId="0" xfId="0" applyFont="1" applyBorder="1" applyAlignment="1">
      <alignment horizontal="center"/>
    </xf>
    <xf numFmtId="0" fontId="76" fillId="39" borderId="0" xfId="0" applyFont="1" applyFill="1" applyBorder="1" applyAlignment="1">
      <alignment horizontal="center" vertical="center"/>
    </xf>
    <xf numFmtId="0" fontId="79" fillId="37" borderId="23" xfId="0" applyFont="1" applyFill="1" applyBorder="1" applyAlignment="1">
      <alignment horizontal="center" vertical="center"/>
    </xf>
    <xf numFmtId="0" fontId="79" fillId="37" borderId="69" xfId="0" applyFont="1" applyFill="1" applyBorder="1" applyAlignment="1">
      <alignment horizontal="center" vertical="center"/>
    </xf>
    <xf numFmtId="0" fontId="79" fillId="37" borderId="87" xfId="0" applyFont="1" applyFill="1" applyBorder="1" applyAlignment="1">
      <alignment horizontal="center" vertical="center"/>
    </xf>
    <xf numFmtId="1" fontId="13" fillId="16" borderId="33" xfId="0" applyNumberFormat="1" applyFont="1" applyFill="1" applyBorder="1" applyAlignment="1">
      <alignment horizontal="center" vertical="center"/>
    </xf>
    <xf numFmtId="0" fontId="21" fillId="0" borderId="33" xfId="0" applyFont="1" applyBorder="1" applyAlignment="1">
      <alignment horizontal="center" vertical="center"/>
    </xf>
    <xf numFmtId="0" fontId="79" fillId="37" borderId="30" xfId="0" applyFont="1" applyFill="1" applyBorder="1" applyAlignment="1">
      <alignment horizontal="center" vertical="center"/>
    </xf>
    <xf numFmtId="0" fontId="79" fillId="37" borderId="0" xfId="0" applyFont="1" applyFill="1" applyBorder="1" applyAlignment="1">
      <alignment horizontal="center" vertical="center"/>
    </xf>
    <xf numFmtId="0" fontId="67" fillId="0" borderId="32" xfId="0" applyFont="1" applyBorder="1" applyAlignment="1">
      <alignment horizontal="center" vertical="center" shrinkToFit="1"/>
    </xf>
    <xf numFmtId="0" fontId="67" fillId="0" borderId="33" xfId="0" applyFont="1" applyBorder="1" applyAlignment="1">
      <alignment horizontal="center" vertical="center" shrinkToFit="1"/>
    </xf>
    <xf numFmtId="0" fontId="13" fillId="16" borderId="33" xfId="0" applyFont="1" applyFill="1" applyBorder="1" applyAlignment="1">
      <alignment horizontal="center" vertical="center"/>
    </xf>
    <xf numFmtId="0" fontId="102" fillId="0" borderId="0" xfId="0" applyFont="1" applyBorder="1" applyAlignment="1"/>
    <xf numFmtId="0" fontId="103" fillId="0" borderId="0" xfId="0" applyFont="1" applyBorder="1" applyAlignment="1"/>
    <xf numFmtId="168" fontId="21" fillId="0" borderId="0" xfId="0" applyNumberFormat="1" applyFont="1" applyAlignment="1"/>
    <xf numFmtId="0" fontId="80" fillId="0" borderId="0" xfId="0" applyFont="1" applyBorder="1" applyAlignment="1"/>
    <xf numFmtId="1" fontId="27" fillId="0" borderId="33" xfId="0" applyNumberFormat="1" applyFont="1" applyBorder="1" applyAlignment="1"/>
    <xf numFmtId="0" fontId="52" fillId="0" borderId="0" xfId="0" applyFont="1" applyBorder="1" applyAlignment="1">
      <alignment horizontal="center"/>
    </xf>
    <xf numFmtId="0" fontId="50" fillId="0" borderId="0" xfId="0" applyFont="1" applyFill="1" applyBorder="1" applyAlignment="1">
      <alignment horizontal="center" vertical="center"/>
    </xf>
    <xf numFmtId="0" fontId="101" fillId="39" borderId="0" xfId="0" applyFont="1" applyFill="1" applyBorder="1" applyAlignment="1">
      <alignment horizontal="center" vertical="center"/>
    </xf>
    <xf numFmtId="0" fontId="101" fillId="39" borderId="31" xfId="0" applyFont="1" applyFill="1" applyBorder="1" applyAlignment="1">
      <alignment horizontal="center" vertical="center"/>
    </xf>
    <xf numFmtId="0" fontId="50" fillId="39" borderId="0" xfId="0" applyFont="1" applyFill="1" applyBorder="1" applyAlignment="1">
      <alignment horizontal="center" vertical="center"/>
    </xf>
    <xf numFmtId="0" fontId="33" fillId="0" borderId="72" xfId="0" applyFont="1" applyBorder="1" applyAlignment="1">
      <alignment horizontal="center" vertical="top"/>
    </xf>
    <xf numFmtId="0" fontId="33" fillId="0" borderId="0" xfId="0" applyFont="1" applyBorder="1" applyAlignment="1">
      <alignment horizontal="center" vertical="top"/>
    </xf>
    <xf numFmtId="0" fontId="33" fillId="0" borderId="23" xfId="0" applyFont="1" applyBorder="1" applyAlignment="1">
      <alignment horizontal="center" vertical="top"/>
    </xf>
    <xf numFmtId="168" fontId="80" fillId="0" borderId="0" xfId="0" applyNumberFormat="1" applyFont="1" applyAlignment="1"/>
    <xf numFmtId="0" fontId="101" fillId="0" borderId="0" xfId="0" applyFont="1" applyFill="1" applyBorder="1" applyAlignment="1">
      <alignment horizontal="center" vertical="center"/>
    </xf>
    <xf numFmtId="0" fontId="101" fillId="0" borderId="31" xfId="0" applyFont="1" applyFill="1" applyBorder="1" applyAlignment="1">
      <alignment horizontal="center" vertical="center"/>
    </xf>
    <xf numFmtId="1" fontId="27" fillId="0" borderId="32" xfId="0" applyNumberFormat="1" applyFont="1" applyBorder="1" applyAlignment="1"/>
    <xf numFmtId="168" fontId="24" fillId="0" borderId="0" xfId="0" applyNumberFormat="1" applyFont="1" applyAlignment="1"/>
    <xf numFmtId="0" fontId="27" fillId="0" borderId="88" xfId="0" applyFont="1" applyBorder="1" applyAlignment="1"/>
    <xf numFmtId="0" fontId="27" fillId="0" borderId="72" xfId="0" applyFont="1" applyBorder="1" applyAlignment="1">
      <alignment horizontal="center"/>
    </xf>
    <xf numFmtId="0" fontId="27" fillId="0" borderId="0" xfId="0" applyFont="1" applyAlignment="1">
      <alignment horizontal="center"/>
    </xf>
    <xf numFmtId="0" fontId="27" fillId="0" borderId="31" xfId="0" applyFont="1" applyBorder="1" applyAlignment="1">
      <alignment horizontal="center"/>
    </xf>
    <xf numFmtId="0" fontId="27" fillId="0" borderId="0" xfId="0" applyFont="1" applyBorder="1" applyAlignment="1">
      <alignment horizontal="center"/>
    </xf>
    <xf numFmtId="0" fontId="80" fillId="0" borderId="32" xfId="0" applyFont="1" applyBorder="1" applyAlignment="1">
      <alignment horizontal="center"/>
    </xf>
    <xf numFmtId="0" fontId="80" fillId="0" borderId="33" xfId="0" applyFont="1" applyBorder="1" applyAlignment="1">
      <alignment horizontal="center"/>
    </xf>
    <xf numFmtId="0" fontId="80" fillId="0" borderId="34" xfId="0" applyFont="1" applyBorder="1" applyAlignment="1">
      <alignment horizontal="center"/>
    </xf>
    <xf numFmtId="0" fontId="24" fillId="0" borderId="0" xfId="0" applyFont="1" applyAlignment="1"/>
    <xf numFmtId="168" fontId="24" fillId="0" borderId="0" xfId="0" applyNumberFormat="1" applyFont="1" applyAlignment="1">
      <alignment horizontal="center"/>
    </xf>
    <xf numFmtId="168" fontId="10" fillId="0" borderId="0" xfId="0" applyNumberFormat="1" applyFont="1" applyAlignment="1">
      <alignment horizontal="center"/>
    </xf>
    <xf numFmtId="172" fontId="10" fillId="0" borderId="0" xfId="0" applyNumberFormat="1" applyFont="1" applyAlignment="1"/>
    <xf numFmtId="172" fontId="0" fillId="0" borderId="0" xfId="0" applyNumberFormat="1" applyAlignment="1"/>
    <xf numFmtId="0" fontId="122" fillId="44" borderId="0" xfId="0" applyFont="1" applyFill="1" applyBorder="1" applyAlignment="1">
      <alignment horizontal="center" vertical="center"/>
    </xf>
    <xf numFmtId="0" fontId="76" fillId="39" borderId="30" xfId="0" applyFont="1" applyFill="1" applyBorder="1" applyAlignment="1">
      <alignment horizontal="center" vertical="center"/>
    </xf>
    <xf numFmtId="168" fontId="27" fillId="0" borderId="0" xfId="0" applyNumberFormat="1" applyFont="1" applyBorder="1" applyAlignment="1"/>
    <xf numFmtId="168" fontId="0" fillId="0" borderId="0" xfId="0" applyNumberFormat="1" applyAlignment="1">
      <alignment horizontal="center"/>
    </xf>
    <xf numFmtId="168" fontId="10" fillId="0" borderId="0" xfId="0" applyNumberFormat="1" applyFont="1" applyAlignment="1" applyProtection="1">
      <alignment horizontal="center"/>
      <protection hidden="1"/>
    </xf>
    <xf numFmtId="0" fontId="24" fillId="0" borderId="8" xfId="0" applyFont="1" applyBorder="1" applyAlignment="1">
      <alignment horizontal="center"/>
    </xf>
    <xf numFmtId="0" fontId="0" fillId="0" borderId="8" xfId="0" applyBorder="1" applyAlignment="1">
      <alignment horizontal="center"/>
    </xf>
    <xf numFmtId="0" fontId="24" fillId="0" borderId="0" xfId="0" applyFont="1" applyAlignment="1">
      <alignment horizontal="center"/>
    </xf>
    <xf numFmtId="14" fontId="24" fillId="0" borderId="0" xfId="0" applyNumberFormat="1" applyFont="1" applyAlignment="1"/>
    <xf numFmtId="0" fontId="21" fillId="0" borderId="0" xfId="0" applyFont="1" applyAlignment="1"/>
    <xf numFmtId="0" fontId="27" fillId="0" borderId="72" xfId="0" applyFont="1" applyBorder="1" applyAlignment="1">
      <alignment horizontal="center" vertical="center"/>
    </xf>
    <xf numFmtId="0" fontId="80" fillId="0" borderId="72" xfId="0" applyFont="1" applyBorder="1" applyAlignment="1"/>
    <xf numFmtId="168" fontId="27" fillId="0" borderId="88" xfId="0" applyNumberFormat="1" applyFont="1" applyBorder="1" applyAlignment="1">
      <alignment horizontal="center"/>
    </xf>
    <xf numFmtId="168" fontId="27" fillId="0" borderId="29" xfId="0" applyNumberFormat="1" applyFont="1" applyBorder="1" applyAlignment="1">
      <alignment horizontal="center"/>
    </xf>
    <xf numFmtId="168" fontId="27" fillId="0" borderId="28" xfId="0" applyNumberFormat="1" applyFont="1" applyBorder="1" applyAlignment="1"/>
    <xf numFmtId="0" fontId="27" fillId="0" borderId="28" xfId="0" applyFont="1" applyBorder="1" applyAlignment="1"/>
    <xf numFmtId="168" fontId="27" fillId="0" borderId="28" xfId="0" applyNumberFormat="1" applyFont="1" applyBorder="1" applyAlignment="1">
      <alignment horizontal="left"/>
    </xf>
    <xf numFmtId="0" fontId="27" fillId="0" borderId="28" xfId="0" applyFont="1" applyBorder="1" applyAlignment="1">
      <alignment horizontal="left"/>
    </xf>
    <xf numFmtId="168" fontId="27" fillId="0" borderId="0" xfId="0" applyNumberFormat="1" applyFont="1" applyAlignment="1"/>
    <xf numFmtId="0" fontId="6" fillId="0" borderId="0" xfId="0" applyFont="1" applyBorder="1" applyAlignment="1">
      <alignment horizontal="center" vertical="center"/>
    </xf>
    <xf numFmtId="0" fontId="76" fillId="39" borderId="49" xfId="0" applyFont="1" applyFill="1" applyBorder="1" applyAlignment="1">
      <alignment horizontal="center" vertical="center"/>
    </xf>
    <xf numFmtId="0" fontId="76" fillId="39" borderId="28" xfId="0" applyFont="1" applyFill="1" applyBorder="1" applyAlignment="1">
      <alignment horizontal="center" vertical="center"/>
    </xf>
    <xf numFmtId="168" fontId="27" fillId="38" borderId="46" xfId="0" applyNumberFormat="1" applyFont="1" applyFill="1" applyBorder="1" applyAlignment="1"/>
    <xf numFmtId="0" fontId="27" fillId="0" borderId="48" xfId="0" applyFont="1" applyBorder="1" applyAlignment="1"/>
    <xf numFmtId="168" fontId="36" fillId="0" borderId="0" xfId="0" applyNumberFormat="1" applyFont="1" applyAlignment="1"/>
    <xf numFmtId="168" fontId="115" fillId="32" borderId="46" xfId="0" applyNumberFormat="1" applyFont="1" applyFill="1" applyBorder="1" applyAlignment="1">
      <alignment horizontal="center"/>
    </xf>
    <xf numFmtId="168" fontId="115" fillId="0" borderId="48" xfId="0" applyNumberFormat="1" applyFont="1" applyBorder="1" applyAlignment="1">
      <alignment horizontal="center"/>
    </xf>
    <xf numFmtId="0" fontId="59" fillId="15" borderId="18" xfId="2" applyFont="1" applyFill="1" applyBorder="1" applyAlignment="1" applyProtection="1">
      <alignment horizontal="center"/>
    </xf>
    <xf numFmtId="0" fontId="59" fillId="15" borderId="11" xfId="2" applyFont="1" applyFill="1" applyBorder="1" applyAlignment="1" applyProtection="1">
      <alignment horizontal="center"/>
    </xf>
    <xf numFmtId="168" fontId="10" fillId="38" borderId="46" xfId="0" applyNumberFormat="1" applyFont="1" applyFill="1" applyBorder="1" applyAlignment="1"/>
    <xf numFmtId="0" fontId="10" fillId="0" borderId="48" xfId="0" applyFont="1" applyBorder="1" applyAlignment="1"/>
    <xf numFmtId="0" fontId="33" fillId="0" borderId="0" xfId="0" applyFont="1" applyBorder="1" applyAlignment="1">
      <alignment horizontal="center"/>
    </xf>
    <xf numFmtId="168" fontId="10" fillId="0" borderId="28" xfId="0" applyNumberFormat="1" applyFont="1" applyBorder="1" applyAlignment="1">
      <alignment horizontal="right"/>
    </xf>
    <xf numFmtId="0" fontId="10" fillId="0" borderId="28" xfId="0" applyFont="1" applyBorder="1" applyAlignment="1">
      <alignment horizontal="right"/>
    </xf>
    <xf numFmtId="0" fontId="27" fillId="0" borderId="32" xfId="0" applyFont="1" applyBorder="1" applyAlignment="1">
      <alignment horizontal="center" vertical="center" shrinkToFit="1"/>
    </xf>
    <xf numFmtId="0" fontId="27" fillId="0" borderId="33" xfId="0" applyFont="1" applyBorder="1" applyAlignment="1">
      <alignment horizontal="center" vertical="center" shrinkToFit="1"/>
    </xf>
    <xf numFmtId="0" fontId="27" fillId="0" borderId="33" xfId="0" applyFont="1" applyBorder="1" applyAlignment="1">
      <alignment horizontal="center" vertical="center"/>
    </xf>
    <xf numFmtId="0" fontId="27" fillId="0" borderId="33" xfId="0" applyFont="1" applyBorder="1" applyAlignment="1">
      <alignment horizontal="center"/>
    </xf>
    <xf numFmtId="0" fontId="27" fillId="0" borderId="34" xfId="0" applyFont="1" applyBorder="1" applyAlignment="1">
      <alignment horizontal="center"/>
    </xf>
    <xf numFmtId="168" fontId="27" fillId="0" borderId="88" xfId="0" applyNumberFormat="1" applyFont="1" applyBorder="1" applyAlignment="1"/>
    <xf numFmtId="0" fontId="5" fillId="0" borderId="88" xfId="0" applyFont="1" applyBorder="1" applyAlignment="1">
      <alignment horizontal="center" vertical="top"/>
    </xf>
    <xf numFmtId="0" fontId="4" fillId="0" borderId="71" xfId="0" applyFont="1" applyBorder="1" applyAlignment="1"/>
    <xf numFmtId="0" fontId="4" fillId="0" borderId="75" xfId="0" applyFont="1" applyBorder="1" applyAlignment="1"/>
    <xf numFmtId="0" fontId="4" fillId="0" borderId="0" xfId="0" applyFont="1" applyAlignment="1"/>
    <xf numFmtId="0" fontId="4" fillId="0" borderId="23" xfId="0" applyFont="1" applyBorder="1" applyAlignment="1"/>
    <xf numFmtId="168" fontId="10" fillId="0" borderId="0" xfId="0" applyNumberFormat="1" applyFont="1" applyAlignment="1"/>
    <xf numFmtId="0" fontId="10" fillId="0" borderId="0" xfId="0" applyFont="1" applyAlignment="1"/>
    <xf numFmtId="0" fontId="50" fillId="0" borderId="71" xfId="0" applyFont="1" applyBorder="1" applyAlignment="1">
      <alignment horizontal="center" vertical="center"/>
    </xf>
    <xf numFmtId="0" fontId="50" fillId="0" borderId="72" xfId="0" applyFont="1" applyBorder="1" applyAlignment="1">
      <alignment horizontal="center" vertical="center"/>
    </xf>
    <xf numFmtId="0" fontId="71" fillId="0" borderId="0" xfId="0" applyFont="1" applyAlignment="1"/>
    <xf numFmtId="0" fontId="67" fillId="0" borderId="72" xfId="0" applyFont="1" applyBorder="1" applyAlignment="1">
      <alignment horizontal="center" vertical="center" shrinkToFit="1"/>
    </xf>
    <xf numFmtId="168" fontId="0" fillId="0" borderId="0" xfId="0" applyNumberFormat="1" applyAlignment="1"/>
    <xf numFmtId="0" fontId="11" fillId="2" borderId="73" xfId="0" applyFont="1" applyFill="1" applyBorder="1" applyAlignment="1">
      <alignment horizontal="center" vertical="center"/>
    </xf>
    <xf numFmtId="0" fontId="11" fillId="2" borderId="77" xfId="0" applyFont="1" applyFill="1" applyBorder="1" applyAlignment="1">
      <alignment horizontal="center" vertical="center"/>
    </xf>
    <xf numFmtId="0" fontId="55" fillId="0" borderId="23" xfId="0" applyFont="1" applyBorder="1" applyAlignment="1">
      <alignment horizontal="center" vertical="center"/>
    </xf>
    <xf numFmtId="0" fontId="6" fillId="0" borderId="26" xfId="0" applyFont="1" applyBorder="1" applyAlignment="1">
      <alignment horizontal="center"/>
    </xf>
    <xf numFmtId="168" fontId="115" fillId="32" borderId="85" xfId="0" applyNumberFormat="1" applyFont="1" applyFill="1" applyBorder="1" applyAlignment="1">
      <alignment horizontal="center"/>
    </xf>
    <xf numFmtId="0" fontId="115" fillId="0" borderId="48" xfId="0" applyFont="1" applyBorder="1" applyAlignment="1">
      <alignment horizontal="center"/>
    </xf>
    <xf numFmtId="0" fontId="70" fillId="0" borderId="0" xfId="0" applyFont="1" applyBorder="1" applyAlignment="1">
      <alignment horizontal="center" vertical="center"/>
    </xf>
    <xf numFmtId="168" fontId="27" fillId="0" borderId="8" xfId="0" applyNumberFormat="1" applyFont="1" applyBorder="1" applyAlignment="1"/>
    <xf numFmtId="168" fontId="27" fillId="38" borderId="91" xfId="0" applyNumberFormat="1" applyFont="1" applyFill="1" applyBorder="1" applyAlignment="1">
      <alignment horizontal="center"/>
    </xf>
    <xf numFmtId="0" fontId="0" fillId="0" borderId="80" xfId="0" applyBorder="1" applyAlignment="1">
      <alignment horizontal="center"/>
    </xf>
    <xf numFmtId="0" fontId="0" fillId="0" borderId="0" xfId="0" applyBorder="1" applyAlignment="1">
      <alignment horizontal="center" vertical="center"/>
    </xf>
    <xf numFmtId="0" fontId="0" fillId="0" borderId="72" xfId="0" applyBorder="1" applyAlignment="1">
      <alignment horizontal="center" vertical="center"/>
    </xf>
    <xf numFmtId="0" fontId="33" fillId="0" borderId="9" xfId="0" applyFont="1" applyBorder="1" applyAlignment="1">
      <alignment horizontal="center" vertical="top"/>
    </xf>
    <xf numFmtId="0" fontId="117" fillId="0" borderId="4" xfId="0" applyFont="1" applyBorder="1" applyAlignment="1"/>
    <xf numFmtId="0" fontId="117" fillId="0" borderId="5" xfId="0" applyFont="1" applyBorder="1" applyAlignment="1"/>
    <xf numFmtId="0" fontId="117" fillId="0" borderId="26" xfId="0" applyFont="1" applyBorder="1" applyAlignment="1"/>
    <xf numFmtId="0" fontId="117" fillId="0" borderId="0" xfId="0" applyFont="1" applyAlignment="1"/>
    <xf numFmtId="0" fontId="117" fillId="0" borderId="23" xfId="0" applyFont="1" applyBorder="1" applyAlignment="1"/>
    <xf numFmtId="0" fontId="76" fillId="39" borderId="71" xfId="0" applyFont="1" applyFill="1" applyBorder="1" applyAlignment="1">
      <alignment horizontal="center" vertical="center"/>
    </xf>
    <xf numFmtId="0" fontId="67" fillId="0" borderId="23" xfId="0" applyFont="1" applyBorder="1" applyAlignment="1">
      <alignment horizontal="center" vertical="center" shrinkToFit="1"/>
    </xf>
    <xf numFmtId="0" fontId="62" fillId="5" borderId="74" xfId="0" applyFont="1" applyFill="1" applyBorder="1" applyAlignment="1">
      <alignment horizontal="center"/>
    </xf>
    <xf numFmtId="0" fontId="101" fillId="39" borderId="71" xfId="0" applyFont="1" applyFill="1" applyBorder="1" applyAlignment="1">
      <alignment horizontal="center" vertical="center"/>
    </xf>
    <xf numFmtId="0" fontId="101" fillId="39" borderId="75" xfId="0" applyFont="1" applyFill="1" applyBorder="1" applyAlignment="1">
      <alignment horizontal="center" vertical="center"/>
    </xf>
    <xf numFmtId="0" fontId="101" fillId="39" borderId="23" xfId="0" applyFont="1" applyFill="1" applyBorder="1" applyAlignment="1">
      <alignment horizontal="center" vertical="center"/>
    </xf>
    <xf numFmtId="0" fontId="21" fillId="0" borderId="84" xfId="0" applyFont="1" applyBorder="1" applyAlignment="1">
      <alignment horizontal="right" vertical="center"/>
    </xf>
    <xf numFmtId="0" fontId="54" fillId="0" borderId="0" xfId="0" applyFont="1" applyBorder="1" applyAlignment="1">
      <alignment horizontal="center"/>
    </xf>
    <xf numFmtId="168" fontId="27" fillId="38" borderId="6" xfId="0" applyNumberFormat="1" applyFont="1" applyFill="1" applyBorder="1" applyAlignment="1">
      <alignment horizontal="center"/>
    </xf>
    <xf numFmtId="0" fontId="27" fillId="0" borderId="0" xfId="0" applyFont="1" applyBorder="1" applyAlignment="1"/>
    <xf numFmtId="168" fontId="75" fillId="50" borderId="8" xfId="0" applyNumberFormat="1" applyFont="1" applyFill="1" applyBorder="1" applyAlignment="1"/>
    <xf numFmtId="0" fontId="55" fillId="0" borderId="71" xfId="0" applyFont="1" applyBorder="1" applyAlignment="1">
      <alignment horizontal="center" vertical="center"/>
    </xf>
    <xf numFmtId="0" fontId="55" fillId="0" borderId="75" xfId="0" applyFont="1" applyBorder="1" applyAlignment="1">
      <alignment horizontal="center" vertical="center"/>
    </xf>
    <xf numFmtId="49" fontId="10" fillId="15" borderId="80" xfId="0" applyNumberFormat="1" applyFont="1" applyFill="1" applyBorder="1" applyAlignment="1"/>
    <xf numFmtId="0" fontId="10" fillId="15" borderId="81" xfId="0" applyFont="1" applyFill="1" applyBorder="1" applyAlignment="1"/>
    <xf numFmtId="0" fontId="60" fillId="15" borderId="79" xfId="2" applyFont="1" applyFill="1" applyBorder="1" applyAlignment="1" applyProtection="1">
      <alignment horizontal="center"/>
    </xf>
    <xf numFmtId="0" fontId="60" fillId="15" borderId="80" xfId="2" applyFont="1" applyFill="1" applyBorder="1" applyAlignment="1" applyProtection="1">
      <alignment horizontal="center"/>
    </xf>
    <xf numFmtId="49" fontId="10" fillId="15" borderId="80" xfId="0" applyNumberFormat="1" applyFont="1" applyFill="1" applyBorder="1" applyAlignment="1">
      <alignment horizontal="center"/>
    </xf>
    <xf numFmtId="0" fontId="10" fillId="15" borderId="81" xfId="0" applyFont="1" applyFill="1" applyBorder="1" applyAlignment="1">
      <alignment horizontal="center"/>
    </xf>
    <xf numFmtId="0" fontId="27" fillId="26" borderId="79" xfId="0" applyFont="1" applyFill="1" applyBorder="1" applyAlignment="1">
      <alignment horizontal="center"/>
    </xf>
    <xf numFmtId="0" fontId="27" fillId="26" borderId="80" xfId="0" applyFont="1" applyFill="1" applyBorder="1" applyAlignment="1">
      <alignment horizontal="center"/>
    </xf>
    <xf numFmtId="0" fontId="50" fillId="0" borderId="23" xfId="0" applyFont="1" applyBorder="1" applyAlignment="1">
      <alignment horizontal="center" vertical="center"/>
    </xf>
    <xf numFmtId="0" fontId="27" fillId="0" borderId="4" xfId="0" applyFont="1" applyBorder="1" applyAlignment="1">
      <alignment horizontal="center" vertical="top"/>
    </xf>
    <xf numFmtId="0" fontId="80" fillId="0" borderId="4" xfId="0" applyFont="1" applyBorder="1" applyAlignment="1"/>
    <xf numFmtId="0" fontId="9" fillId="0" borderId="76" xfId="0" applyFont="1" applyBorder="1" applyAlignment="1">
      <alignment horizontal="center"/>
    </xf>
    <xf numFmtId="0" fontId="105" fillId="35" borderId="46" xfId="0" applyFont="1" applyFill="1" applyBorder="1" applyAlignment="1">
      <alignment horizontal="center"/>
    </xf>
    <xf numFmtId="0" fontId="105" fillId="35" borderId="47" xfId="0" applyFont="1" applyFill="1" applyBorder="1" applyAlignment="1">
      <alignment horizontal="center"/>
    </xf>
    <xf numFmtId="0" fontId="105" fillId="35" borderId="48" xfId="0" applyFont="1" applyFill="1" applyBorder="1" applyAlignment="1">
      <alignment horizontal="center"/>
    </xf>
  </cellXfs>
  <cellStyles count="30">
    <cellStyle name="Estilo 1" xfId="9"/>
    <cellStyle name="Euro" xfId="1"/>
    <cellStyle name="Hipervínculo" xfId="2" builtinId="8"/>
    <cellStyle name="Hipervínculo 2" xfId="13"/>
    <cellStyle name="Millares 2" xfId="6"/>
    <cellStyle name="Millares 2 2" xfId="16"/>
    <cellStyle name="Millares 2 3" xfId="11"/>
    <cellStyle name="Millares 2 3 2" xfId="25"/>
    <cellStyle name="Millares 3" xfId="14"/>
    <cellStyle name="Millares 4" xfId="19"/>
    <cellStyle name="Millares 4 2" xfId="27"/>
    <cellStyle name="Millares 5" xfId="21"/>
    <cellStyle name="Millares 5 2" xfId="29"/>
    <cellStyle name="Normal" xfId="0" builtinId="0"/>
    <cellStyle name="Normal 2" xfId="5"/>
    <cellStyle name="Normal 2 2" xfId="17"/>
    <cellStyle name="Normal 2 3" xfId="10"/>
    <cellStyle name="Normal 2 3 2" xfId="24"/>
    <cellStyle name="Normal 3" xfId="7"/>
    <cellStyle name="Normal 3 2" xfId="15"/>
    <cellStyle name="Normal 3 3" xfId="23"/>
    <cellStyle name="Normal 4" xfId="12"/>
    <cellStyle name="Normal 5" xfId="18"/>
    <cellStyle name="Normal 5 2" xfId="26"/>
    <cellStyle name="Normal 6" xfId="20"/>
    <cellStyle name="Normal 6 2" xfId="28"/>
    <cellStyle name="Normal 7" xfId="8"/>
    <cellStyle name="Normal 8" xfId="3"/>
    <cellStyle name="Normal 8 2" xfId="22"/>
    <cellStyle name="Normal_Festivos" xfId="4"/>
  </cellStyles>
  <dxfs count="265">
    <dxf>
      <font>
        <color rgb="FFFFFF00"/>
      </font>
      <fill>
        <patternFill>
          <bgColor rgb="FF00B050"/>
        </patternFill>
      </fill>
    </dxf>
    <dxf>
      <fill>
        <patternFill>
          <bgColor rgb="FF00B05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b/>
        <i val="0"/>
        <condense val="0"/>
        <extend val="0"/>
        <color indexed="9"/>
      </font>
      <fill>
        <patternFill>
          <bgColor indexed="23"/>
        </patternFill>
      </fill>
    </dxf>
    <dxf>
      <font>
        <condense val="0"/>
        <extend val="0"/>
        <color indexed="13"/>
      </font>
      <fill>
        <patternFill>
          <bgColor indexed="10"/>
        </patternFill>
      </fill>
    </dxf>
    <dxf>
      <fill>
        <patternFill>
          <bgColor rgb="FF00B050"/>
        </patternFill>
      </fill>
    </dxf>
    <dxf>
      <fill>
        <patternFill>
          <bgColor rgb="FF00B050"/>
        </patternFill>
      </fill>
    </dxf>
    <dxf>
      <font>
        <condense val="0"/>
        <extend val="0"/>
        <color indexed="13"/>
      </font>
      <fill>
        <patternFill>
          <bgColor indexed="10"/>
        </patternFill>
      </fill>
    </dxf>
    <dxf>
      <fill>
        <patternFill>
          <bgColor rgb="FFFFC000"/>
        </patternFill>
      </fill>
    </dxf>
    <dxf>
      <font>
        <condense val="0"/>
        <extend val="0"/>
        <color indexed="13"/>
      </font>
      <fill>
        <patternFill>
          <bgColor indexed="17"/>
        </patternFill>
      </fill>
    </dxf>
    <dxf>
      <font>
        <condense val="0"/>
        <extend val="0"/>
        <color indexed="9"/>
      </font>
      <fill>
        <patternFill>
          <bgColor indexed="8"/>
        </patternFill>
      </fill>
    </dxf>
    <dxf>
      <font>
        <b/>
        <i val="0"/>
        <condense val="0"/>
        <extend val="0"/>
        <color indexed="9"/>
      </font>
      <fill>
        <patternFill>
          <bgColor indexed="23"/>
        </patternFill>
      </fill>
    </dxf>
    <dxf>
      <font>
        <condense val="0"/>
        <extend val="0"/>
        <color indexed="13"/>
      </font>
      <fill>
        <patternFill>
          <bgColor indexed="12"/>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b/>
        <i val="0"/>
        <condense val="0"/>
        <extend val="0"/>
        <color indexed="9"/>
      </font>
      <fill>
        <patternFill>
          <bgColor indexed="23"/>
        </patternFill>
      </fill>
    </dxf>
    <dxf>
      <font>
        <color rgb="FFFFFF00"/>
      </font>
      <fill>
        <patternFill>
          <bgColor rgb="FF00B050"/>
        </patternFill>
      </fill>
    </dxf>
    <dxf>
      <fill>
        <patternFill>
          <bgColor rgb="FF00B050"/>
        </patternFill>
      </fill>
    </dxf>
    <dxf>
      <fill>
        <patternFill>
          <bgColor rgb="FF00B050"/>
        </patternFill>
      </fill>
    </dxf>
    <dxf>
      <font>
        <color theme="0"/>
      </font>
      <fill>
        <patternFill>
          <bgColor rgb="FF7030A0"/>
        </patternFill>
      </fill>
    </dxf>
    <dxf>
      <font>
        <condense val="0"/>
        <extend val="0"/>
        <color indexed="13"/>
      </font>
      <fill>
        <patternFill>
          <bgColor indexed="21"/>
        </patternFill>
      </fill>
    </dxf>
    <dxf>
      <font>
        <condense val="0"/>
        <extend val="0"/>
        <color indexed="9"/>
      </font>
      <fill>
        <patternFill>
          <bgColor indexed="8"/>
        </patternFill>
      </fill>
    </dxf>
    <dxf>
      <fill>
        <patternFill>
          <bgColor rgb="FFFFC000"/>
        </patternFill>
      </fill>
    </dxf>
    <dxf>
      <fill>
        <patternFill>
          <bgColor rgb="FFFFC000"/>
        </patternFill>
      </fill>
    </dxf>
    <dxf>
      <font>
        <condense val="0"/>
        <extend val="0"/>
        <color indexed="13"/>
      </font>
      <fill>
        <patternFill>
          <bgColor indexed="17"/>
        </patternFill>
      </fill>
    </dxf>
    <dxf>
      <font>
        <condense val="0"/>
        <extend val="0"/>
        <color indexed="13"/>
      </font>
      <fill>
        <patternFill>
          <bgColor indexed="10"/>
        </patternFill>
      </fill>
    </dxf>
    <dxf>
      <font>
        <color theme="0"/>
      </font>
      <fill>
        <patternFill>
          <bgColor indexed="8"/>
        </patternFill>
      </fill>
    </dxf>
    <dxf>
      <font>
        <condense val="0"/>
        <extend val="0"/>
        <color indexed="9"/>
      </font>
      <fill>
        <patternFill>
          <bgColor indexed="8"/>
        </patternFill>
      </fill>
    </dxf>
    <dxf>
      <font>
        <b/>
        <i val="0"/>
        <condense val="0"/>
        <extend val="0"/>
        <color indexed="9"/>
      </font>
      <fill>
        <patternFill>
          <bgColor indexed="23"/>
        </patternFill>
      </fill>
    </dxf>
    <dxf>
      <font>
        <condense val="0"/>
        <extend val="0"/>
        <color indexed="13"/>
      </font>
      <fill>
        <patternFill>
          <bgColor indexed="12"/>
        </patternFill>
      </fill>
    </dxf>
    <dxf>
      <font>
        <condense val="0"/>
        <extend val="0"/>
        <color indexed="13"/>
      </font>
      <fill>
        <patternFill>
          <bgColor indexed="10"/>
        </patternFill>
      </fill>
    </dxf>
    <dxf>
      <font>
        <condense val="0"/>
        <extend val="0"/>
        <color indexed="13"/>
      </font>
      <fill>
        <patternFill>
          <bgColor indexed="12"/>
        </patternFill>
      </fill>
    </dxf>
    <dxf>
      <font>
        <condense val="0"/>
        <extend val="0"/>
        <color indexed="13"/>
      </font>
      <fill>
        <patternFill>
          <bgColor indexed="10"/>
        </patternFill>
      </fill>
    </dxf>
    <dxf>
      <font>
        <b/>
        <i val="0"/>
        <condense val="0"/>
        <extend val="0"/>
        <color indexed="9"/>
      </font>
      <fill>
        <patternFill>
          <bgColor indexed="23"/>
        </patternFill>
      </fill>
    </dxf>
    <dxf>
      <font>
        <b/>
        <i val="0"/>
        <color rgb="FFFFFF00"/>
      </font>
      <numFmt numFmtId="0" formatCode="General"/>
      <fill>
        <patternFill>
          <bgColor rgb="FF00B050"/>
        </patternFill>
      </fill>
    </dxf>
    <dxf>
      <font>
        <color theme="0"/>
      </font>
      <fill>
        <patternFill>
          <bgColor rgb="FF00B050"/>
        </patternFill>
      </fill>
    </dxf>
    <dxf>
      <font>
        <b/>
        <i val="0"/>
        <color rgb="FFFFFF00"/>
      </font>
      <fill>
        <patternFill>
          <bgColor rgb="FFFF0000"/>
        </patternFill>
      </fill>
    </dxf>
    <dxf>
      <font>
        <color rgb="FFFFFF00"/>
      </font>
      <fill>
        <patternFill>
          <bgColor rgb="FF00B050"/>
        </patternFill>
      </fill>
    </dxf>
    <dxf>
      <fill>
        <patternFill>
          <bgColor rgb="FF00B05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ill>
        <patternFill>
          <bgColor rgb="FFFFC000"/>
        </patternFill>
      </fill>
    </dxf>
    <dxf>
      <font>
        <condense val="0"/>
        <extend val="0"/>
        <color indexed="13"/>
      </font>
      <fill>
        <patternFill>
          <bgColor indexed="21"/>
        </patternFill>
      </fill>
    </dxf>
    <dxf>
      <fill>
        <patternFill>
          <bgColor rgb="FFFFC000"/>
        </patternFill>
      </fill>
    </dxf>
    <dxf>
      <fill>
        <patternFill>
          <bgColor rgb="FFFFC000"/>
        </patternFill>
      </fill>
    </dxf>
    <dxf>
      <font>
        <condense val="0"/>
        <extend val="0"/>
        <color indexed="13"/>
      </font>
      <fill>
        <patternFill>
          <bgColor indexed="17"/>
        </patternFill>
      </fill>
    </dxf>
    <dxf>
      <font>
        <condense val="0"/>
        <extend val="0"/>
        <color indexed="9"/>
      </font>
      <fill>
        <patternFill>
          <bgColor indexed="8"/>
        </patternFill>
      </fill>
    </dxf>
    <dxf>
      <font>
        <color theme="0"/>
      </font>
      <fill>
        <patternFill>
          <bgColor rgb="FF7030A0"/>
        </patternFill>
      </fill>
    </dxf>
    <dxf>
      <font>
        <condense val="0"/>
        <extend val="0"/>
        <color indexed="13"/>
      </font>
      <fill>
        <patternFill>
          <bgColor indexed="10"/>
        </patternFill>
      </fill>
    </dxf>
    <dxf>
      <font>
        <color theme="0"/>
      </font>
      <fill>
        <patternFill>
          <bgColor indexed="8"/>
        </patternFill>
      </fill>
    </dxf>
    <dxf>
      <font>
        <color theme="0"/>
      </font>
      <fill>
        <patternFill>
          <bgColor indexed="8"/>
        </patternFill>
      </fill>
    </dxf>
    <dxf>
      <font>
        <b/>
        <i val="0"/>
        <condense val="0"/>
        <extend val="0"/>
        <color indexed="9"/>
      </font>
      <fill>
        <patternFill>
          <bgColor indexed="23"/>
        </patternFill>
      </fill>
    </dxf>
    <dxf>
      <font>
        <color theme="0"/>
      </font>
      <fill>
        <patternFill>
          <bgColor indexed="8"/>
        </patternFill>
      </fill>
    </dxf>
    <dxf>
      <font>
        <condense val="0"/>
        <extend val="0"/>
        <color indexed="13"/>
      </font>
      <fill>
        <patternFill>
          <bgColor indexed="53"/>
        </patternFill>
      </fill>
    </dxf>
    <dxf>
      <font>
        <condense val="0"/>
        <extend val="0"/>
        <color indexed="13"/>
      </font>
      <fill>
        <patternFill>
          <bgColor indexed="12"/>
        </patternFill>
      </fill>
    </dxf>
    <dxf>
      <font>
        <condense val="0"/>
        <extend val="0"/>
        <color indexed="13"/>
      </font>
      <fill>
        <patternFill>
          <bgColor indexed="17"/>
        </patternFill>
      </fill>
    </dxf>
    <dxf>
      <font>
        <condense val="0"/>
        <extend val="0"/>
        <color indexed="13"/>
      </font>
      <fill>
        <patternFill>
          <bgColor indexed="12"/>
        </patternFill>
      </fill>
    </dxf>
    <dxf>
      <font>
        <condense val="0"/>
        <extend val="0"/>
        <color indexed="13"/>
      </font>
      <fill>
        <patternFill>
          <bgColor indexed="10"/>
        </patternFill>
      </fill>
    </dxf>
    <dxf>
      <font>
        <condense val="0"/>
        <extend val="0"/>
        <color indexed="13"/>
      </font>
      <fill>
        <patternFill>
          <bgColor indexed="12"/>
        </patternFill>
      </fill>
    </dxf>
    <dxf>
      <font>
        <condense val="0"/>
        <extend val="0"/>
        <color indexed="13"/>
      </font>
      <fill>
        <patternFill>
          <bgColor indexed="10"/>
        </patternFill>
      </fill>
    </dxf>
    <dxf>
      <font>
        <color theme="0"/>
      </font>
      <fill>
        <patternFill>
          <bgColor rgb="FF7030A0"/>
        </patternFill>
      </fill>
    </dxf>
    <dxf>
      <font>
        <color theme="0"/>
      </font>
      <fill>
        <patternFill>
          <bgColor rgb="FF7030A0"/>
        </patternFill>
      </fill>
    </dxf>
    <dxf>
      <font>
        <color theme="0"/>
      </font>
      <fill>
        <patternFill>
          <bgColor rgb="FF00B050"/>
        </patternFill>
      </fill>
    </dxf>
    <dxf>
      <font>
        <color theme="0"/>
      </font>
      <fill>
        <patternFill>
          <bgColor rgb="FF7030A0"/>
        </patternFill>
      </fill>
    </dxf>
    <dxf>
      <font>
        <color theme="0"/>
      </font>
      <fill>
        <patternFill>
          <bgColor rgb="FF7030A0"/>
        </patternFill>
      </fill>
    </dxf>
    <dxf>
      <font>
        <color theme="1"/>
      </font>
      <fill>
        <patternFill>
          <bgColor theme="0"/>
        </patternFill>
      </fill>
    </dxf>
    <dxf>
      <font>
        <color theme="0"/>
      </font>
      <fill>
        <patternFill>
          <bgColor rgb="FF7030A0"/>
        </patternFill>
      </fill>
    </dxf>
    <dxf>
      <font>
        <color theme="0"/>
      </font>
      <fill>
        <patternFill>
          <bgColor rgb="FF7030A0"/>
        </patternFill>
      </fill>
    </dxf>
    <dxf>
      <font>
        <color theme="1"/>
      </font>
      <fill>
        <patternFill>
          <bgColor theme="0"/>
        </patternFill>
      </fill>
    </dxf>
    <dxf>
      <font>
        <color theme="0"/>
      </font>
      <fill>
        <patternFill>
          <bgColor rgb="FF7030A0"/>
        </patternFill>
      </fill>
    </dxf>
    <dxf>
      <font>
        <color theme="0"/>
      </font>
      <fill>
        <patternFill>
          <bgColor theme="1"/>
        </patternFill>
      </fill>
    </dxf>
    <dxf>
      <fill>
        <patternFill>
          <bgColor rgb="FFFFC000"/>
        </patternFill>
      </fill>
    </dxf>
    <dxf>
      <fill>
        <patternFill>
          <bgColor rgb="FFFFC000"/>
        </patternFill>
      </fill>
    </dxf>
    <dxf>
      <font>
        <condense val="0"/>
        <extend val="0"/>
        <color indexed="9"/>
      </font>
      <fill>
        <patternFill>
          <bgColor indexed="8"/>
        </patternFill>
      </fill>
    </dxf>
    <dxf>
      <font>
        <condense val="0"/>
        <extend val="0"/>
        <color indexed="13"/>
      </font>
      <fill>
        <patternFill>
          <bgColor indexed="17"/>
        </patternFill>
      </fill>
    </dxf>
    <dxf>
      <font>
        <color theme="1"/>
      </font>
      <fill>
        <patternFill>
          <bgColor theme="0"/>
        </patternFill>
      </fill>
    </dxf>
    <dxf>
      <font>
        <condense val="0"/>
        <extend val="0"/>
        <color indexed="13"/>
      </font>
      <fill>
        <patternFill>
          <bgColor indexed="10"/>
        </patternFill>
      </fill>
    </dxf>
    <dxf>
      <font>
        <color theme="0"/>
      </font>
      <fill>
        <patternFill>
          <bgColor indexed="8"/>
        </patternFill>
      </fill>
    </dxf>
    <dxf>
      <font>
        <color theme="0"/>
      </font>
      <fill>
        <patternFill>
          <bgColor indexed="8"/>
        </patternFill>
      </fill>
    </dxf>
    <dxf>
      <font>
        <condense val="0"/>
        <extend val="0"/>
        <color indexed="13"/>
      </font>
      <fill>
        <patternFill>
          <bgColor indexed="57"/>
        </patternFill>
      </fill>
    </dxf>
    <dxf>
      <font>
        <condense val="0"/>
        <extend val="0"/>
        <color indexed="13"/>
      </font>
      <fill>
        <patternFill>
          <bgColor indexed="12"/>
        </patternFill>
      </fill>
    </dxf>
    <dxf>
      <font>
        <condense val="0"/>
        <extend val="0"/>
        <color indexed="13"/>
      </font>
      <fill>
        <patternFill>
          <bgColor indexed="12"/>
        </patternFill>
      </fill>
    </dxf>
    <dxf>
      <font>
        <condense val="0"/>
        <extend val="0"/>
        <color indexed="13"/>
      </font>
      <fill>
        <patternFill>
          <bgColor indexed="1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theme="1"/>
        </patternFill>
      </fill>
    </dxf>
    <dxf>
      <fill>
        <patternFill>
          <bgColor rgb="FFFFC000"/>
        </patternFill>
      </fill>
    </dxf>
    <dxf>
      <font>
        <condense val="0"/>
        <extend val="0"/>
        <color indexed="13"/>
      </font>
      <fill>
        <patternFill>
          <bgColor indexed="10"/>
        </patternFill>
      </fill>
    </dxf>
    <dxf>
      <font>
        <color theme="0"/>
      </font>
      <fill>
        <patternFill>
          <bgColor indexed="8"/>
        </patternFill>
      </fill>
    </dxf>
    <dxf>
      <font>
        <condense val="0"/>
        <extend val="0"/>
        <color indexed="8"/>
      </font>
      <fill>
        <patternFill>
          <bgColor indexed="45"/>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ndense val="0"/>
        <extend val="0"/>
        <color indexed="8"/>
      </font>
      <fill>
        <patternFill>
          <bgColor indexed="45"/>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8"/>
      </font>
      <fill>
        <patternFill>
          <bgColor rgb="FFFFC000"/>
        </patternFill>
      </fill>
    </dxf>
    <dxf>
      <font>
        <color theme="0"/>
      </font>
      <fill>
        <patternFill>
          <bgColor rgb="FF7030A0"/>
        </patternFill>
      </fill>
    </dxf>
    <dxf>
      <font>
        <condense val="0"/>
        <extend val="0"/>
        <color indexed="8"/>
      </font>
      <fill>
        <patternFill>
          <bgColor indexed="45"/>
        </patternFill>
      </fill>
    </dxf>
    <dxf>
      <font>
        <condense val="0"/>
        <extend val="0"/>
        <color indexed="13"/>
      </font>
      <fill>
        <patternFill>
          <bgColor indexed="10"/>
        </patternFill>
      </fill>
    </dxf>
    <dxf>
      <font>
        <condense val="0"/>
        <extend val="0"/>
        <color indexed="8"/>
      </font>
      <fill>
        <patternFill>
          <bgColor rgb="FFFFC000"/>
        </patternFill>
      </fill>
    </dxf>
    <dxf>
      <font>
        <condense val="0"/>
        <extend val="0"/>
        <color indexed="13"/>
      </font>
      <fill>
        <patternFill>
          <bgColor indexed="17"/>
        </patternFill>
      </fill>
    </dxf>
    <dxf>
      <font>
        <b/>
        <i val="0"/>
        <condense val="0"/>
        <extend val="0"/>
        <color indexed="9"/>
      </font>
      <fill>
        <patternFill>
          <bgColor indexed="23"/>
        </patternFill>
      </fill>
    </dxf>
    <dxf>
      <font>
        <condense val="0"/>
        <extend val="0"/>
        <color indexed="8"/>
      </font>
      <fill>
        <patternFill>
          <bgColor rgb="FFFFC00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FFFF00"/>
      </font>
      <fill>
        <patternFill>
          <bgColor indexed="17"/>
        </patternFill>
      </fill>
    </dxf>
    <dxf>
      <font>
        <condense val="0"/>
        <extend val="0"/>
        <color indexed="34"/>
      </font>
      <fill>
        <patternFill>
          <bgColor indexed="17"/>
        </patternFill>
      </fill>
    </dxf>
    <dxf>
      <font>
        <color theme="0"/>
      </font>
      <fill>
        <patternFill>
          <bgColor theme="1"/>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7"/>
        </patternFill>
      </fill>
    </dxf>
    <dxf>
      <font>
        <b/>
        <i val="0"/>
        <condense val="0"/>
        <extend val="0"/>
        <color indexed="9"/>
      </font>
      <fill>
        <patternFill>
          <bgColor indexed="23"/>
        </patternFill>
      </fill>
    </dxf>
    <dxf>
      <font>
        <condense val="0"/>
        <extend val="0"/>
        <color indexed="13"/>
      </font>
      <fill>
        <patternFill>
          <bgColor indexed="10"/>
        </patternFill>
      </fill>
    </dxf>
    <dxf>
      <font>
        <b val="0"/>
        <i val="0"/>
        <color rgb="FFFFFF00"/>
      </font>
      <fill>
        <patternFill>
          <bgColor rgb="FF00B050"/>
        </patternFill>
      </fill>
    </dxf>
    <dxf>
      <font>
        <b val="0"/>
        <i val="0"/>
        <color rgb="FFFFFF00"/>
      </font>
      <fill>
        <patternFill>
          <bgColor rgb="FF00B050"/>
        </patternFill>
      </fill>
    </dxf>
    <dxf>
      <font>
        <condense val="0"/>
        <extend val="0"/>
        <color indexed="13"/>
      </font>
      <fill>
        <patternFill>
          <bgColor indexed="10"/>
        </patternFill>
      </fill>
    </dxf>
    <dxf>
      <font>
        <condense val="0"/>
        <extend val="0"/>
        <color indexed="13"/>
      </font>
      <fill>
        <patternFill>
          <bgColor indexed="17"/>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theme="0"/>
      </font>
      <fill>
        <patternFill>
          <bgColor theme="1"/>
        </patternFill>
      </fill>
    </dxf>
    <dxf>
      <font>
        <condense val="0"/>
        <extend val="0"/>
        <color indexed="13"/>
      </font>
      <fill>
        <patternFill>
          <bgColor indexed="10"/>
        </patternFill>
      </fill>
    </dxf>
    <dxf>
      <font>
        <color rgb="FFFFFF00"/>
      </font>
      <fill>
        <patternFill>
          <bgColor rgb="FF00B050"/>
        </patternFill>
      </fill>
    </dxf>
    <dxf>
      <font>
        <b/>
        <i val="0"/>
        <color rgb="FFFFFF00"/>
      </font>
      <fill>
        <patternFill>
          <bgColor rgb="FF00B050"/>
        </patternFill>
      </fill>
    </dxf>
    <dxf>
      <font>
        <color theme="0"/>
      </font>
      <fill>
        <patternFill>
          <bgColor theme="1"/>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theme="0"/>
      </font>
      <fill>
        <patternFill>
          <bgColor theme="1"/>
        </patternFill>
      </fill>
    </dxf>
    <dxf>
      <font>
        <condense val="0"/>
        <extend val="0"/>
        <color indexed="13"/>
      </font>
      <fill>
        <patternFill>
          <bgColor indexed="10"/>
        </patternFill>
      </fill>
    </dxf>
    <dxf>
      <font>
        <condense val="0"/>
        <extend val="0"/>
        <color indexed="13"/>
      </font>
      <fill>
        <patternFill>
          <bgColor indexed="17"/>
        </patternFill>
      </fill>
    </dxf>
    <dxf>
      <font>
        <b/>
        <i val="0"/>
        <condense val="0"/>
        <extend val="0"/>
        <color indexed="9"/>
      </font>
      <fill>
        <patternFill>
          <bgColor indexed="23"/>
        </patternFill>
      </fill>
    </dxf>
    <dxf>
      <font>
        <condense val="0"/>
        <extend val="0"/>
        <color indexed="13"/>
      </font>
      <fill>
        <patternFill>
          <bgColor indexed="10"/>
        </patternFill>
      </fill>
    </dxf>
    <dxf>
      <font>
        <b/>
        <i val="0"/>
        <color rgb="FFFFFF00"/>
      </font>
      <numFmt numFmtId="0" formatCode="General"/>
      <fill>
        <patternFill>
          <bgColor rgb="FF00B050"/>
        </patternFill>
      </fill>
    </dxf>
    <dxf>
      <font>
        <color theme="0"/>
      </font>
      <fill>
        <patternFill>
          <bgColor theme="1"/>
        </patternFill>
      </fill>
    </dxf>
    <dxf>
      <font>
        <color theme="0"/>
      </font>
      <fill>
        <patternFill>
          <bgColor rgb="FF7030A0"/>
        </patternFill>
      </fill>
    </dxf>
    <dxf>
      <font>
        <color rgb="FFFFFF00"/>
      </font>
      <fill>
        <patternFill>
          <bgColor rgb="FF00B050"/>
        </patternFill>
      </fill>
    </dxf>
    <dxf>
      <font>
        <color rgb="FFFFFF00"/>
      </font>
      <fill>
        <patternFill>
          <bgColor rgb="FF00B050"/>
        </patternFill>
      </fill>
    </dxf>
    <dxf>
      <fill>
        <patternFill>
          <bgColor rgb="FFFFC000"/>
        </patternFill>
      </fill>
    </dxf>
    <dxf>
      <font>
        <color theme="1"/>
      </font>
      <fill>
        <patternFill>
          <bgColor rgb="FFFFC000"/>
        </patternFill>
      </fill>
    </dxf>
    <dxf>
      <fill>
        <patternFill>
          <bgColor rgb="FFFFC000"/>
        </patternFill>
      </fill>
    </dxf>
    <dxf>
      <font>
        <color theme="0"/>
      </font>
      <fill>
        <patternFill>
          <bgColor rgb="FF7030A0"/>
        </patternFill>
      </fill>
    </dxf>
    <dxf>
      <font>
        <color theme="0"/>
      </font>
      <fill>
        <patternFill>
          <bgColor rgb="FF7030A0"/>
        </patternFill>
      </fill>
    </dxf>
    <dxf>
      <fill>
        <patternFill>
          <bgColor rgb="FFFFC000"/>
        </patternFill>
      </fill>
    </dxf>
    <dxf>
      <fill>
        <patternFill>
          <bgColor rgb="FFFFC000"/>
        </patternFill>
      </fill>
    </dxf>
    <dxf>
      <fill>
        <patternFill>
          <bgColor rgb="FFFFC000"/>
        </patternFill>
      </fill>
    </dxf>
    <dxf>
      <font>
        <color theme="0"/>
      </font>
      <fill>
        <patternFill>
          <bgColor rgb="FF00B050"/>
        </patternFill>
      </fill>
    </dxf>
    <dxf>
      <font>
        <condense val="0"/>
        <extend val="0"/>
        <color indexed="13"/>
      </font>
      <fill>
        <patternFill>
          <bgColor indexed="10"/>
        </patternFill>
      </fill>
    </dxf>
    <dxf>
      <font>
        <color theme="0"/>
      </font>
      <fill>
        <patternFill>
          <bgColor rgb="FF7030A0"/>
        </patternFill>
      </fill>
    </dxf>
    <dxf>
      <font>
        <color theme="0"/>
      </font>
      <fill>
        <patternFill>
          <bgColor rgb="FF7030A0"/>
        </patternFill>
      </fill>
    </dxf>
    <dxf>
      <font>
        <condense val="0"/>
        <extend val="0"/>
        <color indexed="8"/>
      </font>
      <fill>
        <patternFill>
          <bgColor indexed="53"/>
        </patternFill>
      </fill>
    </dxf>
    <dxf>
      <font>
        <color theme="0"/>
      </font>
      <fill>
        <patternFill>
          <bgColor rgb="FF00B050"/>
        </patternFill>
      </fill>
    </dxf>
    <dxf>
      <font>
        <condense val="0"/>
        <extend val="0"/>
        <color indexed="13"/>
      </font>
      <fill>
        <patternFill>
          <bgColor indexed="18"/>
        </patternFill>
      </fill>
    </dxf>
    <dxf>
      <font>
        <color theme="0"/>
      </font>
      <fill>
        <patternFill>
          <bgColor rgb="FF00B050"/>
        </patternFill>
      </fill>
    </dxf>
    <dxf>
      <font>
        <condense val="0"/>
        <extend val="0"/>
        <color indexed="8"/>
      </font>
      <fill>
        <patternFill>
          <bgColor indexed="23"/>
        </patternFill>
      </fill>
    </dxf>
    <dxf>
      <fill>
        <patternFill>
          <bgColor theme="0" tint="-0.34998626667073579"/>
        </patternFill>
      </fill>
    </dxf>
    <dxf>
      <font>
        <condense val="0"/>
        <extend val="0"/>
        <color indexed="13"/>
      </font>
      <fill>
        <patternFill>
          <bgColor indexed="10"/>
        </patternFill>
      </fill>
    </dxf>
    <dxf>
      <font>
        <color theme="0"/>
      </font>
      <fill>
        <patternFill>
          <bgColor indexed="8"/>
        </patternFill>
      </fill>
    </dxf>
    <dxf>
      <font>
        <color theme="0"/>
      </font>
      <fill>
        <patternFill>
          <bgColor theme="1"/>
        </patternFill>
      </fill>
    </dxf>
    <dxf>
      <font>
        <condense val="0"/>
        <extend val="0"/>
        <color indexed="9"/>
      </font>
      <fill>
        <patternFill>
          <bgColor indexed="8"/>
        </patternFill>
      </fill>
    </dxf>
    <dxf>
      <font>
        <condense val="0"/>
        <extend val="0"/>
        <color indexed="13"/>
      </font>
      <fill>
        <patternFill>
          <bgColor indexed="10"/>
        </patternFill>
      </fill>
    </dxf>
    <dxf>
      <font>
        <condense val="0"/>
        <extend val="0"/>
        <color indexed="9"/>
      </font>
      <fill>
        <patternFill>
          <bgColor indexed="8"/>
        </patternFill>
      </fill>
    </dxf>
    <dxf>
      <font>
        <condense val="0"/>
        <extend val="0"/>
        <color indexed="9"/>
      </font>
      <fill>
        <patternFill>
          <bgColor indexed="8"/>
        </patternFill>
      </fill>
    </dxf>
    <dxf>
      <font>
        <condense val="0"/>
        <extend val="0"/>
        <color indexed="13"/>
      </font>
      <fill>
        <patternFill>
          <bgColor indexed="17"/>
        </patternFill>
      </fill>
    </dxf>
    <dxf>
      <font>
        <condense val="0"/>
        <extend val="0"/>
        <color indexed="9"/>
      </font>
      <fill>
        <patternFill>
          <bgColor indexed="8"/>
        </patternFill>
      </fill>
    </dxf>
    <dxf>
      <font>
        <condense val="0"/>
        <extend val="0"/>
        <color indexed="13"/>
      </font>
      <fill>
        <patternFill>
          <bgColor indexed="17"/>
        </patternFill>
      </fill>
    </dxf>
    <dxf>
      <font>
        <color theme="0"/>
      </font>
      <fill>
        <patternFill>
          <bgColor indexed="8"/>
        </patternFill>
      </fill>
    </dxf>
    <dxf>
      <font>
        <condense val="0"/>
        <extend val="0"/>
        <color indexed="13"/>
      </font>
      <fill>
        <patternFill>
          <bgColor indexed="17"/>
        </patternFill>
      </fill>
    </dxf>
    <dxf>
      <font>
        <color theme="0"/>
      </font>
      <fill>
        <patternFill>
          <bgColor theme="1"/>
        </patternFill>
      </fill>
    </dxf>
    <dxf>
      <font>
        <condense val="0"/>
        <extend val="0"/>
        <color indexed="8"/>
      </font>
      <fill>
        <patternFill>
          <bgColor rgb="FFFFC000"/>
        </patternFill>
      </fill>
    </dxf>
    <dxf>
      <font>
        <color theme="0"/>
      </font>
      <fill>
        <patternFill>
          <bgColor rgb="FF7030A0"/>
        </patternFill>
      </fill>
    </dxf>
    <dxf>
      <font>
        <color theme="0"/>
      </font>
      <fill>
        <patternFill>
          <bgColor rgb="FF7030A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8"/>
      </font>
      <fill>
        <patternFill>
          <bgColor indexed="23"/>
        </patternFill>
      </fill>
    </dxf>
    <dxf>
      <font>
        <color theme="0"/>
      </font>
      <fill>
        <patternFill>
          <bgColor theme="1"/>
        </patternFill>
      </fill>
    </dxf>
    <dxf>
      <font>
        <color theme="0"/>
      </font>
      <fill>
        <patternFill>
          <bgColor theme="1"/>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8"/>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32"/>
        </patternFill>
      </fill>
    </dxf>
    <dxf>
      <font>
        <condense val="0"/>
        <extend val="0"/>
        <color indexed="13"/>
      </font>
      <fill>
        <patternFill>
          <bgColor indexed="12"/>
        </patternFill>
      </fill>
    </dxf>
    <dxf>
      <font>
        <condense val="0"/>
        <extend val="0"/>
        <color indexed="13"/>
      </font>
      <fill>
        <patternFill>
          <bgColor indexed="10"/>
        </patternFill>
      </fill>
    </dxf>
    <dxf>
      <font>
        <condense val="0"/>
        <extend val="0"/>
        <color indexed="13"/>
      </font>
      <fill>
        <patternFill>
          <bgColor indexed="10"/>
        </patternFill>
      </fill>
    </dxf>
    <dxf>
      <font>
        <color theme="0"/>
      </font>
      <fill>
        <patternFill>
          <bgColor rgb="FF7030A0"/>
        </patternFill>
      </fill>
    </dxf>
    <dxf>
      <font>
        <color theme="0"/>
      </font>
      <fill>
        <patternFill>
          <bgColor rgb="FF00B050"/>
        </patternFill>
      </fill>
    </dxf>
    <dxf>
      <font>
        <color theme="0"/>
      </font>
      <fill>
        <patternFill>
          <bgColor rgb="FF00B050"/>
        </patternFill>
      </fill>
    </dxf>
    <dxf>
      <fill>
        <patternFill>
          <bgColor rgb="FF92D050"/>
        </patternFill>
      </fill>
    </dxf>
    <dxf>
      <font>
        <color theme="0"/>
      </font>
      <fill>
        <patternFill>
          <bgColor theme="1"/>
        </patternFill>
      </fill>
    </dxf>
    <dxf>
      <fill>
        <patternFill>
          <bgColor rgb="FF00B050"/>
        </patternFill>
      </fill>
    </dxf>
    <dxf>
      <fill>
        <patternFill>
          <bgColor rgb="FF00B050"/>
        </patternFill>
      </fill>
    </dxf>
    <dxf>
      <font>
        <color theme="0"/>
      </font>
      <fill>
        <patternFill>
          <bgColor indexed="17"/>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ill>
        <patternFill>
          <bgColor rgb="FFFFC000"/>
        </patternFill>
      </fill>
    </dxf>
    <dxf>
      <fill>
        <patternFill>
          <bgColor rgb="FFFFC000"/>
        </patternFill>
      </fill>
    </dxf>
    <dxf>
      <font>
        <condense val="0"/>
        <extend val="0"/>
        <color indexed="9"/>
      </font>
      <fill>
        <patternFill>
          <bgColor indexed="8"/>
        </patternFill>
      </fill>
    </dxf>
    <dxf>
      <font>
        <condense val="0"/>
        <extend val="0"/>
        <color indexed="9"/>
      </font>
      <fill>
        <patternFill>
          <bgColor indexed="8"/>
        </patternFill>
      </fill>
    </dxf>
    <dxf>
      <fill>
        <patternFill>
          <bgColor rgb="FFFFC000"/>
        </patternFill>
      </fill>
    </dxf>
    <dxf>
      <font>
        <condense val="0"/>
        <extend val="0"/>
        <color indexed="8"/>
      </font>
      <fill>
        <patternFill>
          <bgColor rgb="FFFFCCCC"/>
        </patternFill>
      </fill>
    </dxf>
    <dxf>
      <font>
        <condense val="0"/>
        <extend val="0"/>
        <color indexed="13"/>
      </font>
      <fill>
        <patternFill>
          <bgColor indexed="17"/>
        </patternFill>
      </fill>
    </dxf>
    <dxf>
      <font>
        <condense val="0"/>
        <extend val="0"/>
        <color indexed="9"/>
      </font>
      <fill>
        <patternFill>
          <bgColor indexed="8"/>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lor theme="0"/>
      </font>
      <fill>
        <patternFill>
          <bgColor rgb="FF7030A0"/>
        </patternFill>
      </fill>
    </dxf>
    <dxf>
      <font>
        <condense val="0"/>
        <extend val="0"/>
        <color indexed="13"/>
      </font>
      <fill>
        <patternFill>
          <bgColor indexed="10"/>
        </patternFill>
      </fill>
    </dxf>
    <dxf>
      <font>
        <color theme="0"/>
      </font>
      <fill>
        <patternFill>
          <bgColor indexed="8"/>
        </patternFill>
      </fill>
    </dxf>
    <dxf>
      <font>
        <color theme="0"/>
      </font>
      <fill>
        <patternFill>
          <bgColor indexed="8"/>
        </patternFill>
      </fill>
    </dxf>
    <dxf>
      <font>
        <condense val="0"/>
        <extend val="0"/>
        <color indexed="13"/>
      </font>
      <fill>
        <patternFill>
          <bgColor indexed="18"/>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8"/>
        </patternFill>
      </fill>
    </dxf>
    <dxf>
      <font>
        <b/>
        <i val="0"/>
        <condense val="0"/>
        <extend val="0"/>
        <color indexed="9"/>
      </font>
      <fill>
        <patternFill>
          <bgColor indexed="23"/>
        </patternFill>
      </fill>
    </dxf>
    <dxf>
      <font>
        <b/>
        <i val="0"/>
        <condense val="0"/>
        <extend val="0"/>
        <color indexed="9"/>
      </font>
      <fill>
        <patternFill>
          <bgColor indexed="23"/>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8"/>
      </font>
      <fill>
        <patternFill>
          <bgColor rgb="FFFFC000"/>
        </patternFill>
      </fill>
    </dxf>
    <dxf>
      <font>
        <condense val="0"/>
        <extend val="0"/>
        <color indexed="13"/>
      </font>
      <fill>
        <patternFill>
          <bgColor indexed="10"/>
        </patternFill>
      </fill>
    </dxf>
    <dxf>
      <font>
        <condense val="0"/>
        <extend val="0"/>
        <color indexed="13"/>
      </font>
      <fill>
        <patternFill>
          <bgColor indexed="17"/>
        </patternFill>
      </fill>
    </dxf>
    <dxf>
      <font>
        <color theme="0"/>
      </font>
      <fill>
        <patternFill>
          <bgColor theme="1"/>
        </patternFill>
      </fill>
    </dxf>
    <dxf>
      <font>
        <color theme="0"/>
      </font>
      <fill>
        <patternFill>
          <bgColor rgb="FF002060"/>
        </patternFill>
      </fill>
    </dxf>
    <dxf>
      <font>
        <condense val="0"/>
        <extend val="0"/>
        <color indexed="13"/>
      </font>
      <fill>
        <patternFill>
          <bgColor indexed="10"/>
        </patternFill>
      </fill>
    </dxf>
    <dxf>
      <font>
        <condense val="0"/>
        <extend val="0"/>
        <color indexed="13"/>
      </font>
      <fill>
        <patternFill>
          <bgColor indexed="62"/>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0033CC"/>
      <color rgb="FFFFFF66"/>
      <color rgb="FF009900"/>
      <color rgb="FFCCECFF"/>
      <color rgb="FFCCFFFF"/>
      <color rgb="FF00FF00"/>
      <color rgb="FFFFCC99"/>
      <color rgb="FF33CCFF"/>
      <color rgb="FFFFCCCC"/>
      <color rgb="FFFF99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activeX/activeX1.xml><?xml version="1.0" encoding="utf-8"?>
<ax:ocx xmlns:ax="http://schemas.microsoft.com/office/2006/activeX" xmlns:r="http://schemas.openxmlformats.org/officeDocument/2006/relationships" ax:classid="{DFD181E0-5E2F-11CE-A449-00AA004A803D}" ax:persistence="persistPropertyBag">
  <ax:ocxPr ax:name="BackColor" ax:value="2147483661"/>
  <ax:ocxPr ax:name="Size" ax:value="4530;593"/>
  <ax:ocxPr ax:name="Min" ax:value="1"/>
  <ax:ocxPr ax:name="Max" ax:value="9999"/>
  <ax:ocxPr ax:name="Position" ax:value="2024"/>
  <ax:ocxPr ax:name="LargeChange" ax:value="10"/>
  <ax:ocxPr ax:name="Delay" ax:value="10"/>
</ax:ocx>
</file>

<file path=xl/activeX/activeX2.xml><?xml version="1.0" encoding="utf-8"?>
<ax:ocx xmlns:ax="http://schemas.microsoft.com/office/2006/activeX" xmlns:r="http://schemas.openxmlformats.org/officeDocument/2006/relationships" ax:classid="{DFD181E0-5E2F-11CE-A449-00AA004A803D}" ax:persistence="persistPropertyBag">
  <ax:ocxPr ax:name="BackColor" ax:value="2147483661"/>
  <ax:ocxPr ax:name="Size" ax:value="4593;741"/>
  <ax:ocxPr ax:name="Min" ax:value="1"/>
  <ax:ocxPr ax:name="Max" ax:value="9999"/>
  <ax:ocxPr ax:name="Position" ax:value="2024"/>
  <ax:ocxPr ax:name="LargeChange" ax:value="10"/>
  <ax:ocxPr ax:name="Delay" ax:value="10"/>
</ax:ocx>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8.jpeg"/><Relationship Id="rId4"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9.jpeg"/><Relationship Id="rId4"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20.jpeg"/><Relationship Id="rId4"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21.jpeg"/><Relationship Id="rId4"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22.jpeg"/><Relationship Id="rId4"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1.jpe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7.jpeg"/><Relationship Id="rId1" Type="http://schemas.openxmlformats.org/officeDocument/2006/relationships/image" Target="../media/image10.png"/><Relationship Id="rId5" Type="http://schemas.openxmlformats.org/officeDocument/2006/relationships/image" Target="../media/image12.jpeg"/><Relationship Id="rId4"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3.jpe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4.jpeg"/><Relationship Id="rId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5.jpeg"/><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6.jpeg"/><Relationship Id="rId4"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0.png"/><Relationship Id="rId1" Type="http://schemas.openxmlformats.org/officeDocument/2006/relationships/image" Target="../media/image4.jpeg"/><Relationship Id="rId5" Type="http://schemas.openxmlformats.org/officeDocument/2006/relationships/image" Target="../media/image17.jpeg"/><Relationship Id="rId4"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1</xdr:row>
      <xdr:rowOff>7620</xdr:rowOff>
    </xdr:from>
    <xdr:to>
      <xdr:col>12</xdr:col>
      <xdr:colOff>60960</xdr:colOff>
      <xdr:row>26</xdr:row>
      <xdr:rowOff>76200</xdr:rowOff>
    </xdr:to>
    <xdr:pic>
      <xdr:nvPicPr>
        <xdr:cNvPr id="19491" name="Picture 6" descr="escutpoble"/>
        <xdr:cNvPicPr>
          <a:picLocks noChangeAspect="1" noChangeArrowheads="1"/>
        </xdr:cNvPicPr>
      </xdr:nvPicPr>
      <xdr:blipFill>
        <a:blip xmlns:r="http://schemas.openxmlformats.org/officeDocument/2006/relationships" r:embed="rId1" cstate="print"/>
        <a:srcRect/>
        <a:stretch>
          <a:fillRect/>
        </a:stretch>
      </xdr:blipFill>
      <xdr:spPr bwMode="auto">
        <a:xfrm>
          <a:off x="114300" y="182880"/>
          <a:ext cx="2552700" cy="3307080"/>
        </a:xfrm>
        <a:prstGeom prst="rect">
          <a:avLst/>
        </a:prstGeom>
        <a:noFill/>
        <a:ln w="9525">
          <a:noFill/>
          <a:miter lim="800000"/>
          <a:headEnd/>
          <a:tailEnd/>
        </a:ln>
      </xdr:spPr>
    </xdr:pic>
    <xdr:clientData/>
  </xdr:twoCellAnchor>
  <xdr:oneCellAnchor>
    <xdr:from>
      <xdr:col>1</xdr:col>
      <xdr:colOff>60960</xdr:colOff>
      <xdr:row>0</xdr:row>
      <xdr:rowOff>128812</xdr:rowOff>
    </xdr:from>
    <xdr:ext cx="6893515" cy="264524"/>
    <xdr:sp macro="" textlink="">
      <xdr:nvSpPr>
        <xdr:cNvPr id="5" name="4 CuadroTexto"/>
        <xdr:cNvSpPr txBox="1"/>
      </xdr:nvSpPr>
      <xdr:spPr>
        <a:xfrm>
          <a:off x="152400" y="128812"/>
          <a:ext cx="6893515" cy="264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r"/>
          <a:r>
            <a:rPr lang="es-ES" sz="1400" b="1" i="0" u="none" strike="noStrike" baseline="0">
              <a:solidFill>
                <a:schemeClr val="tx1"/>
              </a:solidFill>
              <a:latin typeface="Arial" pitchFamily="34" charset="0"/>
              <a:ea typeface="+mn-ea"/>
              <a:cs typeface="Arial" pitchFamily="34" charset="0"/>
            </a:rPr>
            <a:t>Romeria Catí a Sant Pere (700 anys) (1321-2021)- 30 abril- 1 maig 2022</a:t>
          </a:r>
        </a:p>
        <a:p>
          <a:pPr algn="ctr"/>
          <a:endParaRPr lang="es-ES" sz="1400" b="1" i="0" u="none" strike="noStrike" baseline="0">
            <a:solidFill>
              <a:schemeClr val="tx1"/>
            </a:solidFill>
            <a:latin typeface="Arial" pitchFamily="34" charset="0"/>
            <a:ea typeface="+mn-ea"/>
            <a:cs typeface="Arial" pitchFamily="34" charset="0"/>
          </a:endParaRPr>
        </a:p>
        <a:p>
          <a:pPr algn="ctr"/>
          <a:endParaRPr lang="es-ES" sz="1400" b="1" i="0" u="none" strike="noStrike" baseline="0">
            <a:solidFill>
              <a:schemeClr val="tx1"/>
            </a:solidFill>
            <a:latin typeface="Arial" pitchFamily="34" charset="0"/>
            <a:ea typeface="+mn-ea"/>
            <a:cs typeface="Arial" pitchFamily="34" charset="0"/>
          </a:endParaRPr>
        </a:p>
        <a:p>
          <a:pPr algn="ctr"/>
          <a:endParaRPr lang="es-ES" sz="1400" b="1" i="0" u="none" strike="noStrike" baseline="0">
            <a:solidFill>
              <a:schemeClr val="tx1"/>
            </a:solidFill>
            <a:latin typeface="Arial" pitchFamily="34" charset="0"/>
            <a:ea typeface="+mn-ea"/>
            <a:cs typeface="Arial" pitchFamily="34" charset="0"/>
          </a:endParaRPr>
        </a:p>
        <a:p>
          <a:pPr algn="ctr"/>
          <a:endParaRPr lang="es-ES" sz="1400" b="1" i="0" u="none" strike="noStrike" baseline="0">
            <a:solidFill>
              <a:schemeClr val="tx1"/>
            </a:solidFill>
            <a:latin typeface="Arial" pitchFamily="34" charset="0"/>
            <a:ea typeface="+mn-ea"/>
            <a:cs typeface="Arial" pitchFamily="34" charset="0"/>
          </a:endParaRPr>
        </a:p>
        <a:p>
          <a:pPr algn="ctr"/>
          <a:r>
            <a:rPr lang="es-ES" sz="1800">
              <a:latin typeface="Arial" pitchFamily="34" charset="0"/>
              <a:cs typeface="Arial" pitchFamily="34" charset="0"/>
            </a:rPr>
            <a:t> </a:t>
          </a:r>
          <a:endParaRPr lang="es-ES" sz="1800" b="1">
            <a:latin typeface="Arial" pitchFamily="34" charset="0"/>
            <a:cs typeface="Arial" pitchFamily="34" charset="0"/>
          </a:endParaRPr>
        </a:p>
      </xdr:txBody>
    </xdr:sp>
    <xdr:clientData/>
  </xdr:oneCellAnchor>
  <xdr:twoCellAnchor editAs="oneCell">
    <xdr:from>
      <xdr:col>11</xdr:col>
      <xdr:colOff>36055</xdr:colOff>
      <xdr:row>3</xdr:row>
      <xdr:rowOff>64848</xdr:rowOff>
    </xdr:from>
    <xdr:to>
      <xdr:col>30</xdr:col>
      <xdr:colOff>164592</xdr:colOff>
      <xdr:row>24</xdr:row>
      <xdr:rowOff>18288</xdr:rowOff>
    </xdr:to>
    <xdr:pic>
      <xdr:nvPicPr>
        <xdr:cNvPr id="4098" name="Picture 2" descr="https://catimenu.com/700%20anniversari-1.jpg"/>
        <xdr:cNvPicPr>
          <a:picLocks noChangeAspect="1" noChangeArrowheads="1"/>
        </xdr:cNvPicPr>
      </xdr:nvPicPr>
      <xdr:blipFill>
        <a:blip xmlns:r="http://schemas.openxmlformats.org/officeDocument/2006/relationships" r:embed="rId2"/>
        <a:srcRect/>
        <a:stretch>
          <a:fillRect/>
        </a:stretch>
      </xdr:blipFill>
      <xdr:spPr bwMode="auto">
        <a:xfrm>
          <a:off x="2443975" y="497664"/>
          <a:ext cx="4529849" cy="2641776"/>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36</xdr:col>
      <xdr:colOff>0</xdr:colOff>
      <xdr:row>30</xdr:row>
      <xdr:rowOff>22860</xdr:rowOff>
    </xdr:from>
    <xdr:to>
      <xdr:col>37</xdr:col>
      <xdr:colOff>190500</xdr:colOff>
      <xdr:row>33</xdr:row>
      <xdr:rowOff>0</xdr:rowOff>
    </xdr:to>
    <xdr:pic>
      <xdr:nvPicPr>
        <xdr:cNvPr id="11346"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29600" y="3467100"/>
          <a:ext cx="419100" cy="365760"/>
        </a:xfrm>
        <a:prstGeom prst="rect">
          <a:avLst/>
        </a:prstGeom>
        <a:noFill/>
        <a:ln w="9525">
          <a:noFill/>
          <a:miter lim="800000"/>
          <a:headEnd/>
          <a:tailEnd/>
        </a:ln>
      </xdr:spPr>
    </xdr:pic>
    <xdr:clientData/>
  </xdr:twoCellAnchor>
  <xdr:twoCellAnchor editAs="oneCell">
    <xdr:from>
      <xdr:col>30</xdr:col>
      <xdr:colOff>7620</xdr:colOff>
      <xdr:row>30</xdr:row>
      <xdr:rowOff>7620</xdr:rowOff>
    </xdr:from>
    <xdr:to>
      <xdr:col>31</xdr:col>
      <xdr:colOff>198120</xdr:colOff>
      <xdr:row>33</xdr:row>
      <xdr:rowOff>22860</xdr:rowOff>
    </xdr:to>
    <xdr:pic>
      <xdr:nvPicPr>
        <xdr:cNvPr id="11347"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51860"/>
          <a:ext cx="419100" cy="403860"/>
        </a:xfrm>
        <a:prstGeom prst="rect">
          <a:avLst/>
        </a:prstGeom>
        <a:noFill/>
        <a:ln w="9525">
          <a:noFill/>
          <a:miter lim="800000"/>
          <a:headEnd/>
          <a:tailEnd/>
        </a:ln>
      </xdr:spPr>
    </xdr:pic>
    <xdr:clientData/>
  </xdr:twoCellAnchor>
  <xdr:twoCellAnchor editAs="oneCell">
    <xdr:from>
      <xdr:col>39</xdr:col>
      <xdr:colOff>7620</xdr:colOff>
      <xdr:row>30</xdr:row>
      <xdr:rowOff>22860</xdr:rowOff>
    </xdr:from>
    <xdr:to>
      <xdr:col>40</xdr:col>
      <xdr:colOff>167640</xdr:colOff>
      <xdr:row>32</xdr:row>
      <xdr:rowOff>121920</xdr:rowOff>
    </xdr:to>
    <xdr:pic>
      <xdr:nvPicPr>
        <xdr:cNvPr id="11348"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23020" y="3467100"/>
          <a:ext cx="388620" cy="358140"/>
        </a:xfrm>
        <a:prstGeom prst="rect">
          <a:avLst/>
        </a:prstGeom>
        <a:noFill/>
        <a:ln w="9525">
          <a:noFill/>
          <a:miter lim="800000"/>
          <a:headEnd/>
          <a:tailEnd/>
        </a:ln>
      </xdr:spPr>
    </xdr:pic>
    <xdr:clientData/>
  </xdr:twoCellAnchor>
  <xdr:twoCellAnchor editAs="oneCell">
    <xdr:from>
      <xdr:col>33</xdr:col>
      <xdr:colOff>30480</xdr:colOff>
      <xdr:row>30</xdr:row>
      <xdr:rowOff>22860</xdr:rowOff>
    </xdr:from>
    <xdr:to>
      <xdr:col>34</xdr:col>
      <xdr:colOff>167640</xdr:colOff>
      <xdr:row>32</xdr:row>
      <xdr:rowOff>106680</xdr:rowOff>
    </xdr:to>
    <xdr:pic>
      <xdr:nvPicPr>
        <xdr:cNvPr id="11349"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74280" y="3467100"/>
          <a:ext cx="365760" cy="342900"/>
        </a:xfrm>
        <a:prstGeom prst="rect">
          <a:avLst/>
        </a:prstGeom>
        <a:noFill/>
        <a:ln w="9525">
          <a:noFill/>
          <a:miter lim="800000"/>
          <a:headEnd/>
          <a:tailEnd/>
        </a:ln>
      </xdr:spPr>
    </xdr:pic>
    <xdr:clientData/>
  </xdr:twoCellAnchor>
  <xdr:twoCellAnchor editAs="oneCell">
    <xdr:from>
      <xdr:col>1</xdr:col>
      <xdr:colOff>137404</xdr:colOff>
      <xdr:row>3</xdr:row>
      <xdr:rowOff>75803</xdr:rowOff>
    </xdr:from>
    <xdr:to>
      <xdr:col>20</xdr:col>
      <xdr:colOff>19878</xdr:colOff>
      <xdr:row>31</xdr:row>
      <xdr:rowOff>70958</xdr:rowOff>
    </xdr:to>
    <xdr:pic>
      <xdr:nvPicPr>
        <xdr:cNvPr id="2" name="Picture 1" descr="https://lh3.googleusercontent.com/pw/AL9nZEWtCMLze53HfzjRIsfvSZiLCONF8zqk9ah6xM8BE2udZqA34M8X5hWGBJTmwv4v8CW3vxvMhUpt5pz982tV8IScz-ExydfYH6M7tAaEvoFeV-z-7Zt4bJuRWS9zgU-bIO7a_rb_xA-lKw61N_QYkVbGxQ=w1260-h943-no?authuser=0"/>
        <xdr:cNvPicPr>
          <a:picLocks noChangeAspect="1" noChangeArrowheads="1"/>
        </xdr:cNvPicPr>
      </xdr:nvPicPr>
      <xdr:blipFill>
        <a:blip xmlns:r="http://schemas.openxmlformats.org/officeDocument/2006/relationships" r:embed="rId5" cstate="print"/>
        <a:srcRect/>
        <a:stretch>
          <a:fillRect/>
        </a:stretch>
      </xdr:blipFill>
      <xdr:spPr bwMode="auto">
        <a:xfrm>
          <a:off x="369317" y="433612"/>
          <a:ext cx="4341831" cy="316905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35</xdr:col>
      <xdr:colOff>220980</xdr:colOff>
      <xdr:row>30</xdr:row>
      <xdr:rowOff>22860</xdr:rowOff>
    </xdr:from>
    <xdr:to>
      <xdr:col>37</xdr:col>
      <xdr:colOff>175260</xdr:colOff>
      <xdr:row>33</xdr:row>
      <xdr:rowOff>107</xdr:rowOff>
    </xdr:to>
    <xdr:pic>
      <xdr:nvPicPr>
        <xdr:cNvPr id="10322"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21980" y="3467100"/>
          <a:ext cx="411480" cy="365760"/>
        </a:xfrm>
        <a:prstGeom prst="rect">
          <a:avLst/>
        </a:prstGeom>
        <a:noFill/>
        <a:ln w="9525">
          <a:noFill/>
          <a:miter lim="800000"/>
          <a:headEnd/>
          <a:tailEnd/>
        </a:ln>
      </xdr:spPr>
    </xdr:pic>
    <xdr:clientData/>
  </xdr:twoCellAnchor>
  <xdr:twoCellAnchor editAs="oneCell">
    <xdr:from>
      <xdr:col>30</xdr:col>
      <xdr:colOff>7620</xdr:colOff>
      <xdr:row>30</xdr:row>
      <xdr:rowOff>7620</xdr:rowOff>
    </xdr:from>
    <xdr:to>
      <xdr:col>31</xdr:col>
      <xdr:colOff>198120</xdr:colOff>
      <xdr:row>33</xdr:row>
      <xdr:rowOff>22860</xdr:rowOff>
    </xdr:to>
    <xdr:pic>
      <xdr:nvPicPr>
        <xdr:cNvPr id="10323"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51860"/>
          <a:ext cx="419100" cy="403860"/>
        </a:xfrm>
        <a:prstGeom prst="rect">
          <a:avLst/>
        </a:prstGeom>
        <a:noFill/>
        <a:ln w="9525">
          <a:noFill/>
          <a:miter lim="800000"/>
          <a:headEnd/>
          <a:tailEnd/>
        </a:ln>
      </xdr:spPr>
    </xdr:pic>
    <xdr:clientData/>
  </xdr:twoCellAnchor>
  <xdr:twoCellAnchor editAs="oneCell">
    <xdr:from>
      <xdr:col>38</xdr:col>
      <xdr:colOff>205740</xdr:colOff>
      <xdr:row>30</xdr:row>
      <xdr:rowOff>22860</xdr:rowOff>
    </xdr:from>
    <xdr:to>
      <xdr:col>40</xdr:col>
      <xdr:colOff>137160</xdr:colOff>
      <xdr:row>32</xdr:row>
      <xdr:rowOff>121920</xdr:rowOff>
    </xdr:to>
    <xdr:pic>
      <xdr:nvPicPr>
        <xdr:cNvPr id="10324"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892540" y="3467100"/>
          <a:ext cx="388620" cy="358140"/>
        </a:xfrm>
        <a:prstGeom prst="rect">
          <a:avLst/>
        </a:prstGeom>
        <a:noFill/>
        <a:ln w="9525">
          <a:noFill/>
          <a:miter lim="800000"/>
          <a:headEnd/>
          <a:tailEnd/>
        </a:ln>
      </xdr:spPr>
    </xdr:pic>
    <xdr:clientData/>
  </xdr:twoCellAnchor>
  <xdr:twoCellAnchor editAs="oneCell">
    <xdr:from>
      <xdr:col>33</xdr:col>
      <xdr:colOff>38100</xdr:colOff>
      <xdr:row>30</xdr:row>
      <xdr:rowOff>22860</xdr:rowOff>
    </xdr:from>
    <xdr:to>
      <xdr:col>34</xdr:col>
      <xdr:colOff>175260</xdr:colOff>
      <xdr:row>32</xdr:row>
      <xdr:rowOff>106680</xdr:rowOff>
    </xdr:to>
    <xdr:pic>
      <xdr:nvPicPr>
        <xdr:cNvPr id="10325"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81900" y="3467100"/>
          <a:ext cx="365760" cy="342900"/>
        </a:xfrm>
        <a:prstGeom prst="rect">
          <a:avLst/>
        </a:prstGeom>
        <a:noFill/>
        <a:ln w="9525">
          <a:noFill/>
          <a:miter lim="800000"/>
          <a:headEnd/>
          <a:tailEnd/>
        </a:ln>
      </xdr:spPr>
    </xdr:pic>
    <xdr:clientData/>
  </xdr:twoCellAnchor>
  <xdr:twoCellAnchor editAs="oneCell">
    <xdr:from>
      <xdr:col>2</xdr:col>
      <xdr:colOff>20320</xdr:colOff>
      <xdr:row>3</xdr:row>
      <xdr:rowOff>103632</xdr:rowOff>
    </xdr:from>
    <xdr:to>
      <xdr:col>19</xdr:col>
      <xdr:colOff>158496</xdr:colOff>
      <xdr:row>31</xdr:row>
      <xdr:rowOff>79248</xdr:rowOff>
    </xdr:to>
    <xdr:pic>
      <xdr:nvPicPr>
        <xdr:cNvPr id="2" name="Picture 1" descr="https://lh3.googleusercontent.com/pw/AL9nZEUDF3CHvh_BENWq-8Mt0eH-q1CG02zqY3ybb4sO-m-2CeNBav5sr3g80NnIqUz3KwdcXS7MdreVItVjL4z_2RD_iWlbKys02Lx4SxbhQDJLq-ICnKLwPBMmfcQlbmewTIFy7euNtPEdH1APbGq76ExOwg=w1260-h943-no?authuser=0"/>
        <xdr:cNvPicPr>
          <a:picLocks noChangeAspect="1" noChangeArrowheads="1"/>
        </xdr:cNvPicPr>
      </xdr:nvPicPr>
      <xdr:blipFill>
        <a:blip xmlns:r="http://schemas.openxmlformats.org/officeDocument/2006/relationships" r:embed="rId5"/>
        <a:srcRect/>
        <a:stretch>
          <a:fillRect/>
        </a:stretch>
      </xdr:blipFill>
      <xdr:spPr bwMode="auto">
        <a:xfrm>
          <a:off x="483616" y="463296"/>
          <a:ext cx="4307840" cy="323088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36</xdr:col>
      <xdr:colOff>7620</xdr:colOff>
      <xdr:row>30</xdr:row>
      <xdr:rowOff>22860</xdr:rowOff>
    </xdr:from>
    <xdr:to>
      <xdr:col>37</xdr:col>
      <xdr:colOff>198120</xdr:colOff>
      <xdr:row>33</xdr:row>
      <xdr:rowOff>1032</xdr:rowOff>
    </xdr:to>
    <xdr:pic>
      <xdr:nvPicPr>
        <xdr:cNvPr id="9299" name="Picture 7"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37220" y="3467100"/>
          <a:ext cx="419100" cy="365760"/>
        </a:xfrm>
        <a:prstGeom prst="rect">
          <a:avLst/>
        </a:prstGeom>
        <a:noFill/>
        <a:ln w="9525">
          <a:noFill/>
          <a:miter lim="800000"/>
          <a:headEnd/>
          <a:tailEnd/>
        </a:ln>
      </xdr:spPr>
    </xdr:pic>
    <xdr:clientData/>
  </xdr:twoCellAnchor>
  <xdr:twoCellAnchor editAs="oneCell">
    <xdr:from>
      <xdr:col>30</xdr:col>
      <xdr:colOff>7620</xdr:colOff>
      <xdr:row>30</xdr:row>
      <xdr:rowOff>22860</xdr:rowOff>
    </xdr:from>
    <xdr:to>
      <xdr:col>31</xdr:col>
      <xdr:colOff>198120</xdr:colOff>
      <xdr:row>33</xdr:row>
      <xdr:rowOff>30480</xdr:rowOff>
    </xdr:to>
    <xdr:pic>
      <xdr:nvPicPr>
        <xdr:cNvPr id="9300" name="Picture 8"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67100"/>
          <a:ext cx="419100" cy="396240"/>
        </a:xfrm>
        <a:prstGeom prst="rect">
          <a:avLst/>
        </a:prstGeom>
        <a:noFill/>
        <a:ln w="9525">
          <a:noFill/>
          <a:miter lim="800000"/>
          <a:headEnd/>
          <a:tailEnd/>
        </a:ln>
      </xdr:spPr>
    </xdr:pic>
    <xdr:clientData/>
  </xdr:twoCellAnchor>
  <xdr:twoCellAnchor editAs="oneCell">
    <xdr:from>
      <xdr:col>39</xdr:col>
      <xdr:colOff>22860</xdr:colOff>
      <xdr:row>30</xdr:row>
      <xdr:rowOff>30480</xdr:rowOff>
    </xdr:from>
    <xdr:to>
      <xdr:col>40</xdr:col>
      <xdr:colOff>175260</xdr:colOff>
      <xdr:row>33</xdr:row>
      <xdr:rowOff>1032</xdr:rowOff>
    </xdr:to>
    <xdr:pic>
      <xdr:nvPicPr>
        <xdr:cNvPr id="9301" name="Picture 9"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38260" y="3474720"/>
          <a:ext cx="381000" cy="358140"/>
        </a:xfrm>
        <a:prstGeom prst="rect">
          <a:avLst/>
        </a:prstGeom>
        <a:noFill/>
        <a:ln w="9525">
          <a:noFill/>
          <a:miter lim="800000"/>
          <a:headEnd/>
          <a:tailEnd/>
        </a:ln>
      </xdr:spPr>
    </xdr:pic>
    <xdr:clientData/>
  </xdr:twoCellAnchor>
  <xdr:twoCellAnchor editAs="oneCell">
    <xdr:from>
      <xdr:col>33</xdr:col>
      <xdr:colOff>30480</xdr:colOff>
      <xdr:row>30</xdr:row>
      <xdr:rowOff>30480</xdr:rowOff>
    </xdr:from>
    <xdr:to>
      <xdr:col>34</xdr:col>
      <xdr:colOff>167640</xdr:colOff>
      <xdr:row>32</xdr:row>
      <xdr:rowOff>114300</xdr:rowOff>
    </xdr:to>
    <xdr:pic>
      <xdr:nvPicPr>
        <xdr:cNvPr id="9302" name="Picture 10"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74280" y="3474720"/>
          <a:ext cx="365760" cy="342900"/>
        </a:xfrm>
        <a:prstGeom prst="rect">
          <a:avLst/>
        </a:prstGeom>
        <a:noFill/>
        <a:ln w="9525">
          <a:noFill/>
          <a:miter lim="800000"/>
          <a:headEnd/>
          <a:tailEnd/>
        </a:ln>
      </xdr:spPr>
    </xdr:pic>
    <xdr:clientData/>
  </xdr:twoCellAnchor>
  <xdr:twoCellAnchor editAs="oneCell">
    <xdr:from>
      <xdr:col>1</xdr:col>
      <xdr:colOff>151158</xdr:colOff>
      <xdr:row>3</xdr:row>
      <xdr:rowOff>42672</xdr:rowOff>
    </xdr:from>
    <xdr:to>
      <xdr:col>20</xdr:col>
      <xdr:colOff>7673</xdr:colOff>
      <xdr:row>30</xdr:row>
      <xdr:rowOff>109728</xdr:rowOff>
    </xdr:to>
    <xdr:pic>
      <xdr:nvPicPr>
        <xdr:cNvPr id="2" name="Picture 1" descr="https://lh3.googleusercontent.com/pw/AL9nZEWive1HqSug_x7lgU50lMt1jDh8Xcv2NpK92sdKAS1l8TTiIhuVbt_PkwPsSY7i5-iIBscH6L47dQv4TCVF8B4sWrPTZMfO-KYW6aCuVQFP76SloO7B5Pt0QvWWU727nd79od9xTcefMKX7VCAYhdqJfw=w1260-h943-no?authuser=0"/>
        <xdr:cNvPicPr>
          <a:picLocks noChangeAspect="1" noChangeArrowheads="1"/>
        </xdr:cNvPicPr>
      </xdr:nvPicPr>
      <xdr:blipFill>
        <a:blip xmlns:r="http://schemas.openxmlformats.org/officeDocument/2006/relationships" r:embed="rId5"/>
        <a:srcRect/>
        <a:stretch>
          <a:fillRect/>
        </a:stretch>
      </xdr:blipFill>
      <xdr:spPr bwMode="auto">
        <a:xfrm>
          <a:off x="382806" y="402336"/>
          <a:ext cx="4257827" cy="3194304"/>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36</xdr:col>
      <xdr:colOff>0</xdr:colOff>
      <xdr:row>30</xdr:row>
      <xdr:rowOff>7620</xdr:rowOff>
    </xdr:from>
    <xdr:to>
      <xdr:col>37</xdr:col>
      <xdr:colOff>190500</xdr:colOff>
      <xdr:row>32</xdr:row>
      <xdr:rowOff>121920</xdr:rowOff>
    </xdr:to>
    <xdr:pic>
      <xdr:nvPicPr>
        <xdr:cNvPr id="8275" name="Picture 8"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29600" y="3451860"/>
          <a:ext cx="419100" cy="373380"/>
        </a:xfrm>
        <a:prstGeom prst="rect">
          <a:avLst/>
        </a:prstGeom>
        <a:noFill/>
        <a:ln w="9525">
          <a:noFill/>
          <a:miter lim="800000"/>
          <a:headEnd/>
          <a:tailEnd/>
        </a:ln>
      </xdr:spPr>
    </xdr:pic>
    <xdr:clientData/>
  </xdr:twoCellAnchor>
  <xdr:twoCellAnchor editAs="oneCell">
    <xdr:from>
      <xdr:col>30</xdr:col>
      <xdr:colOff>22860</xdr:colOff>
      <xdr:row>30</xdr:row>
      <xdr:rowOff>22860</xdr:rowOff>
    </xdr:from>
    <xdr:to>
      <xdr:col>31</xdr:col>
      <xdr:colOff>205740</xdr:colOff>
      <xdr:row>33</xdr:row>
      <xdr:rowOff>30480</xdr:rowOff>
    </xdr:to>
    <xdr:pic>
      <xdr:nvPicPr>
        <xdr:cNvPr id="8276" name="Picture 9"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80860" y="3467100"/>
          <a:ext cx="411480" cy="396240"/>
        </a:xfrm>
        <a:prstGeom prst="rect">
          <a:avLst/>
        </a:prstGeom>
        <a:noFill/>
        <a:ln w="9525">
          <a:noFill/>
          <a:miter lim="800000"/>
          <a:headEnd/>
          <a:tailEnd/>
        </a:ln>
      </xdr:spPr>
    </xdr:pic>
    <xdr:clientData/>
  </xdr:twoCellAnchor>
  <xdr:twoCellAnchor editAs="oneCell">
    <xdr:from>
      <xdr:col>38</xdr:col>
      <xdr:colOff>220980</xdr:colOff>
      <xdr:row>30</xdr:row>
      <xdr:rowOff>7620</xdr:rowOff>
    </xdr:from>
    <xdr:to>
      <xdr:col>40</xdr:col>
      <xdr:colOff>152400</xdr:colOff>
      <xdr:row>32</xdr:row>
      <xdr:rowOff>114300</xdr:rowOff>
    </xdr:to>
    <xdr:pic>
      <xdr:nvPicPr>
        <xdr:cNvPr id="8277" name="Picture 10"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07780" y="3451860"/>
          <a:ext cx="388620" cy="365760"/>
        </a:xfrm>
        <a:prstGeom prst="rect">
          <a:avLst/>
        </a:prstGeom>
        <a:noFill/>
        <a:ln w="9525">
          <a:noFill/>
          <a:miter lim="800000"/>
          <a:headEnd/>
          <a:tailEnd/>
        </a:ln>
      </xdr:spPr>
    </xdr:pic>
    <xdr:clientData/>
  </xdr:twoCellAnchor>
  <xdr:twoCellAnchor editAs="oneCell">
    <xdr:from>
      <xdr:col>33</xdr:col>
      <xdr:colOff>38100</xdr:colOff>
      <xdr:row>30</xdr:row>
      <xdr:rowOff>22860</xdr:rowOff>
    </xdr:from>
    <xdr:to>
      <xdr:col>34</xdr:col>
      <xdr:colOff>175260</xdr:colOff>
      <xdr:row>32</xdr:row>
      <xdr:rowOff>106680</xdr:rowOff>
    </xdr:to>
    <xdr:pic>
      <xdr:nvPicPr>
        <xdr:cNvPr id="8278" name="Picture 11"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81900" y="3467100"/>
          <a:ext cx="365760" cy="342900"/>
        </a:xfrm>
        <a:prstGeom prst="rect">
          <a:avLst/>
        </a:prstGeom>
        <a:noFill/>
        <a:ln w="9525">
          <a:noFill/>
          <a:miter lim="800000"/>
          <a:headEnd/>
          <a:tailEnd/>
        </a:ln>
      </xdr:spPr>
    </xdr:pic>
    <xdr:clientData/>
  </xdr:twoCellAnchor>
  <xdr:twoCellAnchor editAs="oneCell">
    <xdr:from>
      <xdr:col>1</xdr:col>
      <xdr:colOff>330463</xdr:colOff>
      <xdr:row>2</xdr:row>
      <xdr:rowOff>85344</xdr:rowOff>
    </xdr:from>
    <xdr:to>
      <xdr:col>20</xdr:col>
      <xdr:colOff>42044</xdr:colOff>
      <xdr:row>30</xdr:row>
      <xdr:rowOff>30480</xdr:rowOff>
    </xdr:to>
    <xdr:pic>
      <xdr:nvPicPr>
        <xdr:cNvPr id="2" name="Picture 1" descr="https://lh3.googleusercontent.com/pw/AL9nZEWKCQ73aD1Q6Tk2J4RlFX4dQEnyxMDpBHaqitaRuFH4kAqxKTsXpvscdhT926uAl_bADxplds_vvTXFEgpPbzFiQeL3GXWsjOZ_rYare2tJwkqj0G0psb9u3HAZBfTTy3nrnL1gUSOpJOur7970mfJxtw=w1260-h943-no?authuser=0"/>
        <xdr:cNvPicPr>
          <a:picLocks noChangeAspect="1" noChangeArrowheads="1"/>
        </xdr:cNvPicPr>
      </xdr:nvPicPr>
      <xdr:blipFill>
        <a:blip xmlns:r="http://schemas.openxmlformats.org/officeDocument/2006/relationships" r:embed="rId5"/>
        <a:srcRect/>
        <a:stretch>
          <a:fillRect/>
        </a:stretch>
      </xdr:blipFill>
      <xdr:spPr bwMode="auto">
        <a:xfrm>
          <a:off x="562111" y="377952"/>
          <a:ext cx="4301869" cy="3224784"/>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35</xdr:col>
      <xdr:colOff>228600</xdr:colOff>
      <xdr:row>30</xdr:row>
      <xdr:rowOff>22860</xdr:rowOff>
    </xdr:from>
    <xdr:to>
      <xdr:col>37</xdr:col>
      <xdr:colOff>190500</xdr:colOff>
      <xdr:row>32</xdr:row>
      <xdr:rowOff>108857</xdr:rowOff>
    </xdr:to>
    <xdr:pic>
      <xdr:nvPicPr>
        <xdr:cNvPr id="7252"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403771" y="3489960"/>
          <a:ext cx="419100" cy="347254"/>
        </a:xfrm>
        <a:prstGeom prst="rect">
          <a:avLst/>
        </a:prstGeom>
        <a:noFill/>
        <a:ln w="9525">
          <a:noFill/>
          <a:miter lim="800000"/>
          <a:headEnd/>
          <a:tailEnd/>
        </a:ln>
      </xdr:spPr>
    </xdr:pic>
    <xdr:clientData/>
  </xdr:twoCellAnchor>
  <xdr:twoCellAnchor editAs="oneCell">
    <xdr:from>
      <xdr:col>30</xdr:col>
      <xdr:colOff>22859</xdr:colOff>
      <xdr:row>29</xdr:row>
      <xdr:rowOff>114299</xdr:rowOff>
    </xdr:from>
    <xdr:to>
      <xdr:col>31</xdr:col>
      <xdr:colOff>214137</xdr:colOff>
      <xdr:row>32</xdr:row>
      <xdr:rowOff>87085</xdr:rowOff>
    </xdr:to>
    <xdr:pic>
      <xdr:nvPicPr>
        <xdr:cNvPr id="7253"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7055030" y="3467099"/>
          <a:ext cx="419879" cy="348343"/>
        </a:xfrm>
        <a:prstGeom prst="rect">
          <a:avLst/>
        </a:prstGeom>
        <a:noFill/>
        <a:ln w="9525">
          <a:noFill/>
          <a:miter lim="800000"/>
          <a:headEnd/>
          <a:tailEnd/>
        </a:ln>
      </xdr:spPr>
    </xdr:pic>
    <xdr:clientData/>
  </xdr:twoCellAnchor>
  <xdr:twoCellAnchor editAs="oneCell">
    <xdr:from>
      <xdr:col>39</xdr:col>
      <xdr:colOff>7620</xdr:colOff>
      <xdr:row>30</xdr:row>
      <xdr:rowOff>7620</xdr:rowOff>
    </xdr:from>
    <xdr:to>
      <xdr:col>40</xdr:col>
      <xdr:colOff>167640</xdr:colOff>
      <xdr:row>32</xdr:row>
      <xdr:rowOff>108857</xdr:rowOff>
    </xdr:to>
    <xdr:pic>
      <xdr:nvPicPr>
        <xdr:cNvPr id="7254"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9097191" y="3474720"/>
          <a:ext cx="388620" cy="362494"/>
        </a:xfrm>
        <a:prstGeom prst="rect">
          <a:avLst/>
        </a:prstGeom>
        <a:noFill/>
        <a:ln w="9525">
          <a:noFill/>
          <a:miter lim="800000"/>
          <a:headEnd/>
          <a:tailEnd/>
        </a:ln>
      </xdr:spPr>
    </xdr:pic>
    <xdr:clientData/>
  </xdr:twoCellAnchor>
  <xdr:twoCellAnchor editAs="oneCell">
    <xdr:from>
      <xdr:col>33</xdr:col>
      <xdr:colOff>53340</xdr:colOff>
      <xdr:row>30</xdr:row>
      <xdr:rowOff>30479</xdr:rowOff>
    </xdr:from>
    <xdr:to>
      <xdr:col>34</xdr:col>
      <xdr:colOff>192024</xdr:colOff>
      <xdr:row>32</xdr:row>
      <xdr:rowOff>103413</xdr:rowOff>
    </xdr:to>
    <xdr:pic>
      <xdr:nvPicPr>
        <xdr:cNvPr id="7255"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771311" y="3497579"/>
          <a:ext cx="367284" cy="334191"/>
        </a:xfrm>
        <a:prstGeom prst="rect">
          <a:avLst/>
        </a:prstGeom>
        <a:noFill/>
        <a:ln w="9525">
          <a:noFill/>
          <a:miter lim="800000"/>
          <a:headEnd/>
          <a:tailEnd/>
        </a:ln>
      </xdr:spPr>
    </xdr:pic>
    <xdr:clientData/>
  </xdr:twoCellAnchor>
  <xdr:twoCellAnchor editAs="oneCell">
    <xdr:from>
      <xdr:col>1</xdr:col>
      <xdr:colOff>211020</xdr:colOff>
      <xdr:row>2</xdr:row>
      <xdr:rowOff>82333</xdr:rowOff>
    </xdr:from>
    <xdr:to>
      <xdr:col>20</xdr:col>
      <xdr:colOff>103632</xdr:colOff>
      <xdr:row>31</xdr:row>
      <xdr:rowOff>47243</xdr:rowOff>
    </xdr:to>
    <xdr:pic>
      <xdr:nvPicPr>
        <xdr:cNvPr id="2" name="Picture 1" descr="https://lh3.googleusercontent.com/pw/AL9nZEW20ec7DnbHIBUoiTwvxTEEnz2klpUVii0osAW0Z6res7Ocu0u1I7M2D4_ve3-7bnombLVQt0RyQLTVTryJUvdTW0k5Xywty-0_7y6rn__R_9M4zpewyWdky4OhGX--BIw_nmfw5K8SX_DhsHjrYMtAvA=w1260-h943-no?authuser=0"/>
        <xdr:cNvPicPr>
          <a:picLocks noChangeAspect="1" noChangeArrowheads="1"/>
        </xdr:cNvPicPr>
      </xdr:nvPicPr>
      <xdr:blipFill>
        <a:blip xmlns:r="http://schemas.openxmlformats.org/officeDocument/2006/relationships" r:embed="rId5"/>
        <a:srcRect/>
        <a:stretch>
          <a:fillRect/>
        </a:stretch>
      </xdr:blipFill>
      <xdr:spPr bwMode="auto">
        <a:xfrm>
          <a:off x="442668" y="350557"/>
          <a:ext cx="4446324" cy="3335998"/>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621792</xdr:colOff>
      <xdr:row>26</xdr:row>
      <xdr:rowOff>144164</xdr:rowOff>
    </xdr:to>
    <xdr:pic>
      <xdr:nvPicPr>
        <xdr:cNvPr id="3" name="2 Imagen" descr="calendari-2024-1.jpg"/>
        <xdr:cNvPicPr>
          <a:picLocks noChangeAspect="1"/>
        </xdr:cNvPicPr>
      </xdr:nvPicPr>
      <xdr:blipFill>
        <a:blip xmlns:r="http://schemas.openxmlformats.org/officeDocument/2006/relationships" r:embed="rId1"/>
        <a:stretch>
          <a:fillRect/>
        </a:stretch>
      </xdr:blipFill>
      <xdr:spPr>
        <a:xfrm>
          <a:off x="0" y="0"/>
          <a:ext cx="5376672" cy="45820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30480</xdr:colOff>
      <xdr:row>0</xdr:row>
      <xdr:rowOff>0</xdr:rowOff>
    </xdr:from>
    <xdr:to>
      <xdr:col>7</xdr:col>
      <xdr:colOff>411480</xdr:colOff>
      <xdr:row>35</xdr:row>
      <xdr:rowOff>60960</xdr:rowOff>
    </xdr:to>
    <xdr:pic>
      <xdr:nvPicPr>
        <xdr:cNvPr id="3" name="2 Imagen" descr="felicitacio-2023-catimenuc.jpg"/>
        <xdr:cNvPicPr>
          <a:picLocks noChangeAspect="1"/>
        </xdr:cNvPicPr>
      </xdr:nvPicPr>
      <xdr:blipFill>
        <a:blip xmlns:r="http://schemas.openxmlformats.org/officeDocument/2006/relationships" r:embed="rId1"/>
        <a:stretch>
          <a:fillRect/>
        </a:stretch>
      </xdr:blipFill>
      <xdr:spPr>
        <a:xfrm>
          <a:off x="30480" y="0"/>
          <a:ext cx="5928360" cy="5928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746760</xdr:colOff>
      <xdr:row>38</xdr:row>
      <xdr:rowOff>56883</xdr:rowOff>
    </xdr:to>
    <xdr:pic>
      <xdr:nvPicPr>
        <xdr:cNvPr id="3" name="2 Imagen" descr="calendari-2024-2zz.jpg"/>
        <xdr:cNvPicPr>
          <a:picLocks noChangeAspect="1"/>
        </xdr:cNvPicPr>
      </xdr:nvPicPr>
      <xdr:blipFill>
        <a:blip xmlns:r="http://schemas.openxmlformats.org/officeDocument/2006/relationships" r:embed="rId1"/>
        <a:stretch>
          <a:fillRect/>
        </a:stretch>
      </xdr:blipFill>
      <xdr:spPr>
        <a:xfrm>
          <a:off x="0" y="0"/>
          <a:ext cx="5501640" cy="64272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167639</xdr:rowOff>
    </xdr:from>
    <xdr:to>
      <xdr:col>6</xdr:col>
      <xdr:colOff>746760</xdr:colOff>
      <xdr:row>39</xdr:row>
      <xdr:rowOff>56882</xdr:rowOff>
    </xdr:to>
    <xdr:pic>
      <xdr:nvPicPr>
        <xdr:cNvPr id="3" name="2 Imagen" descr="calendari-2024-2zz.jpg"/>
        <xdr:cNvPicPr>
          <a:picLocks noChangeAspect="1"/>
        </xdr:cNvPicPr>
      </xdr:nvPicPr>
      <xdr:blipFill>
        <a:blip xmlns:r="http://schemas.openxmlformats.org/officeDocument/2006/relationships" r:embed="rId1"/>
        <a:stretch>
          <a:fillRect/>
        </a:stretch>
      </xdr:blipFill>
      <xdr:spPr>
        <a:xfrm>
          <a:off x="0" y="167639"/>
          <a:ext cx="5501640" cy="64272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22860</xdr:colOff>
      <xdr:row>38</xdr:row>
      <xdr:rowOff>99060</xdr:rowOff>
    </xdr:from>
    <xdr:to>
      <xdr:col>59</xdr:col>
      <xdr:colOff>6235</xdr:colOff>
      <xdr:row>54</xdr:row>
      <xdr:rowOff>4011</xdr:rowOff>
    </xdr:to>
    <xdr:pic>
      <xdr:nvPicPr>
        <xdr:cNvPr id="6227" name="Picture 3" descr="edadluna"/>
        <xdr:cNvPicPr>
          <a:picLocks noChangeAspect="1" noChangeArrowheads="1"/>
        </xdr:cNvPicPr>
      </xdr:nvPicPr>
      <xdr:blipFill>
        <a:blip xmlns:r="http://schemas.openxmlformats.org/officeDocument/2006/relationships" r:embed="rId1" cstate="print"/>
        <a:srcRect/>
        <a:stretch>
          <a:fillRect/>
        </a:stretch>
      </xdr:blipFill>
      <xdr:spPr bwMode="auto">
        <a:xfrm>
          <a:off x="8549640" y="6416040"/>
          <a:ext cx="3634740" cy="2590800"/>
        </a:xfrm>
        <a:prstGeom prst="rect">
          <a:avLst/>
        </a:prstGeom>
        <a:noFill/>
        <a:ln w="9525">
          <a:noFill/>
          <a:miter lim="800000"/>
          <a:headEnd/>
          <a:tailEnd/>
        </a:ln>
      </xdr:spPr>
    </xdr:pic>
    <xdr:clientData/>
  </xdr:twoCellAnchor>
  <xdr:twoCellAnchor editAs="oneCell">
    <xdr:from>
      <xdr:col>51</xdr:col>
      <xdr:colOff>7620</xdr:colOff>
      <xdr:row>29</xdr:row>
      <xdr:rowOff>168041</xdr:rowOff>
    </xdr:from>
    <xdr:to>
      <xdr:col>52</xdr:col>
      <xdr:colOff>137160</xdr:colOff>
      <xdr:row>32</xdr:row>
      <xdr:rowOff>15641</xdr:rowOff>
    </xdr:to>
    <xdr:pic>
      <xdr:nvPicPr>
        <xdr:cNvPr id="6228" name="Picture 7" descr="edadluna0"/>
        <xdr:cNvPicPr>
          <a:picLocks noChangeAspect="1" noChangeArrowheads="1"/>
        </xdr:cNvPicPr>
      </xdr:nvPicPr>
      <xdr:blipFill>
        <a:blip xmlns:r="http://schemas.openxmlformats.org/officeDocument/2006/relationships" r:embed="rId2" cstate="print"/>
        <a:srcRect/>
        <a:stretch>
          <a:fillRect/>
        </a:stretch>
      </xdr:blipFill>
      <xdr:spPr bwMode="auto">
        <a:xfrm>
          <a:off x="9536631" y="4876399"/>
          <a:ext cx="434340" cy="401052"/>
        </a:xfrm>
        <a:prstGeom prst="rect">
          <a:avLst/>
        </a:prstGeom>
        <a:noFill/>
        <a:ln w="9525">
          <a:noFill/>
          <a:miter lim="800000"/>
          <a:headEnd/>
          <a:tailEnd/>
        </a:ln>
      </xdr:spPr>
    </xdr:pic>
    <xdr:clientData/>
  </xdr:twoCellAnchor>
  <xdr:twoCellAnchor editAs="oneCell">
    <xdr:from>
      <xdr:col>51</xdr:col>
      <xdr:colOff>7620</xdr:colOff>
      <xdr:row>32</xdr:row>
      <xdr:rowOff>7620</xdr:rowOff>
    </xdr:from>
    <xdr:to>
      <xdr:col>52</xdr:col>
      <xdr:colOff>129540</xdr:colOff>
      <xdr:row>34</xdr:row>
      <xdr:rowOff>1838</xdr:rowOff>
    </xdr:to>
    <xdr:pic>
      <xdr:nvPicPr>
        <xdr:cNvPr id="6229" name="Picture 8"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9304020" y="5273040"/>
          <a:ext cx="426720" cy="342900"/>
        </a:xfrm>
        <a:prstGeom prst="rect">
          <a:avLst/>
        </a:prstGeom>
        <a:noFill/>
        <a:ln w="9525">
          <a:noFill/>
          <a:miter lim="800000"/>
          <a:headEnd/>
          <a:tailEnd/>
        </a:ln>
      </xdr:spPr>
    </xdr:pic>
    <xdr:clientData/>
  </xdr:twoCellAnchor>
  <xdr:twoCellAnchor editAs="oneCell">
    <xdr:from>
      <xdr:col>51</xdr:col>
      <xdr:colOff>0</xdr:colOff>
      <xdr:row>33</xdr:row>
      <xdr:rowOff>144780</xdr:rowOff>
    </xdr:from>
    <xdr:to>
      <xdr:col>52</xdr:col>
      <xdr:colOff>137160</xdr:colOff>
      <xdr:row>35</xdr:row>
      <xdr:rowOff>167640</xdr:rowOff>
    </xdr:to>
    <xdr:pic>
      <xdr:nvPicPr>
        <xdr:cNvPr id="6230" name="Picture 9" descr="edadluna14"/>
        <xdr:cNvPicPr>
          <a:picLocks noChangeAspect="1" noChangeArrowheads="1"/>
        </xdr:cNvPicPr>
      </xdr:nvPicPr>
      <xdr:blipFill>
        <a:blip xmlns:r="http://schemas.openxmlformats.org/officeDocument/2006/relationships" r:embed="rId4" cstate="print"/>
        <a:srcRect/>
        <a:stretch>
          <a:fillRect/>
        </a:stretch>
      </xdr:blipFill>
      <xdr:spPr bwMode="auto">
        <a:xfrm>
          <a:off x="9296400" y="5585460"/>
          <a:ext cx="441960" cy="373380"/>
        </a:xfrm>
        <a:prstGeom prst="rect">
          <a:avLst/>
        </a:prstGeom>
        <a:noFill/>
        <a:ln w="9525">
          <a:noFill/>
          <a:miter lim="800000"/>
          <a:headEnd/>
          <a:tailEnd/>
        </a:ln>
      </xdr:spPr>
    </xdr:pic>
    <xdr:clientData/>
  </xdr:twoCellAnchor>
  <xdr:twoCellAnchor editAs="oneCell">
    <xdr:from>
      <xdr:col>51</xdr:col>
      <xdr:colOff>0</xdr:colOff>
      <xdr:row>36</xdr:row>
      <xdr:rowOff>0</xdr:rowOff>
    </xdr:from>
    <xdr:to>
      <xdr:col>52</xdr:col>
      <xdr:colOff>137160</xdr:colOff>
      <xdr:row>37</xdr:row>
      <xdr:rowOff>152400</xdr:rowOff>
    </xdr:to>
    <xdr:pic>
      <xdr:nvPicPr>
        <xdr:cNvPr id="6231" name="Picture 10" descr="edadluna21"/>
        <xdr:cNvPicPr>
          <a:picLocks noChangeAspect="1" noChangeArrowheads="1"/>
        </xdr:cNvPicPr>
      </xdr:nvPicPr>
      <xdr:blipFill>
        <a:blip xmlns:r="http://schemas.openxmlformats.org/officeDocument/2006/relationships" r:embed="rId5" cstate="print"/>
        <a:srcRect/>
        <a:stretch>
          <a:fillRect/>
        </a:stretch>
      </xdr:blipFill>
      <xdr:spPr bwMode="auto">
        <a:xfrm>
          <a:off x="9296400" y="5966460"/>
          <a:ext cx="441960" cy="32766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30480</xdr:colOff>
      <xdr:row>30</xdr:row>
      <xdr:rowOff>22860</xdr:rowOff>
    </xdr:from>
    <xdr:to>
      <xdr:col>37</xdr:col>
      <xdr:colOff>220980</xdr:colOff>
      <xdr:row>33</xdr:row>
      <xdr:rowOff>0</xdr:rowOff>
    </xdr:to>
    <xdr:pic>
      <xdr:nvPicPr>
        <xdr:cNvPr id="18518" name="Picture 4"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60080" y="3467100"/>
          <a:ext cx="419100" cy="365760"/>
        </a:xfrm>
        <a:prstGeom prst="rect">
          <a:avLst/>
        </a:prstGeom>
        <a:noFill/>
        <a:ln w="9525">
          <a:noFill/>
          <a:miter lim="800000"/>
          <a:headEnd/>
          <a:tailEnd/>
        </a:ln>
      </xdr:spPr>
    </xdr:pic>
    <xdr:clientData/>
  </xdr:twoCellAnchor>
  <xdr:twoCellAnchor editAs="oneCell">
    <xdr:from>
      <xdr:col>30</xdr:col>
      <xdr:colOff>22860</xdr:colOff>
      <xdr:row>30</xdr:row>
      <xdr:rowOff>7620</xdr:rowOff>
    </xdr:from>
    <xdr:to>
      <xdr:col>31</xdr:col>
      <xdr:colOff>205740</xdr:colOff>
      <xdr:row>33</xdr:row>
      <xdr:rowOff>22860</xdr:rowOff>
    </xdr:to>
    <xdr:pic>
      <xdr:nvPicPr>
        <xdr:cNvPr id="18519" name="Picture 7"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80860" y="3451860"/>
          <a:ext cx="411480" cy="403860"/>
        </a:xfrm>
        <a:prstGeom prst="rect">
          <a:avLst/>
        </a:prstGeom>
        <a:noFill/>
        <a:ln w="9525">
          <a:noFill/>
          <a:miter lim="800000"/>
          <a:headEnd/>
          <a:tailEnd/>
        </a:ln>
      </xdr:spPr>
    </xdr:pic>
    <xdr:clientData/>
  </xdr:twoCellAnchor>
  <xdr:twoCellAnchor editAs="oneCell">
    <xdr:from>
      <xdr:col>39</xdr:col>
      <xdr:colOff>7620</xdr:colOff>
      <xdr:row>30</xdr:row>
      <xdr:rowOff>22860</xdr:rowOff>
    </xdr:from>
    <xdr:to>
      <xdr:col>40</xdr:col>
      <xdr:colOff>167640</xdr:colOff>
      <xdr:row>32</xdr:row>
      <xdr:rowOff>121920</xdr:rowOff>
    </xdr:to>
    <xdr:pic>
      <xdr:nvPicPr>
        <xdr:cNvPr id="18520" name="Picture 8"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23020" y="3467100"/>
          <a:ext cx="388620" cy="358140"/>
        </a:xfrm>
        <a:prstGeom prst="rect">
          <a:avLst/>
        </a:prstGeom>
        <a:noFill/>
        <a:ln w="9525">
          <a:noFill/>
          <a:miter lim="800000"/>
          <a:headEnd/>
          <a:tailEnd/>
        </a:ln>
      </xdr:spPr>
    </xdr:pic>
    <xdr:clientData/>
  </xdr:twoCellAnchor>
  <xdr:twoCellAnchor editAs="oneCell">
    <xdr:from>
      <xdr:col>33</xdr:col>
      <xdr:colOff>60960</xdr:colOff>
      <xdr:row>30</xdr:row>
      <xdr:rowOff>22860</xdr:rowOff>
    </xdr:from>
    <xdr:to>
      <xdr:col>34</xdr:col>
      <xdr:colOff>198120</xdr:colOff>
      <xdr:row>32</xdr:row>
      <xdr:rowOff>106680</xdr:rowOff>
    </xdr:to>
    <xdr:pic>
      <xdr:nvPicPr>
        <xdr:cNvPr id="18521" name="Picture 9"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604760" y="3467100"/>
          <a:ext cx="365760" cy="342900"/>
        </a:xfrm>
        <a:prstGeom prst="rect">
          <a:avLst/>
        </a:prstGeom>
        <a:noFill/>
        <a:ln w="9525">
          <a:noFill/>
          <a:miter lim="800000"/>
          <a:headEnd/>
          <a:tailEnd/>
        </a:ln>
      </xdr:spPr>
    </xdr:pic>
    <xdr:clientData/>
  </xdr:twoCellAnchor>
  <xdr:twoCellAnchor editAs="oneCell">
    <xdr:from>
      <xdr:col>1</xdr:col>
      <xdr:colOff>172279</xdr:colOff>
      <xdr:row>4</xdr:row>
      <xdr:rowOff>86138</xdr:rowOff>
    </xdr:from>
    <xdr:to>
      <xdr:col>20</xdr:col>
      <xdr:colOff>53009</xdr:colOff>
      <xdr:row>30</xdr:row>
      <xdr:rowOff>79513</xdr:rowOff>
    </xdr:to>
    <xdr:pic>
      <xdr:nvPicPr>
        <xdr:cNvPr id="16385" name="Picture 1" descr="https://lh3.googleusercontent.com/pw/AL9nZEVCrIy8Kg-tGXVE05veudK7TOZZ5oUCUWMvhTEqwwh_twvVUk-rIjd-kxKjLtW7zZM9ea3PbH1LiloDR_l8q67Qr7k7Jw-io2dPOPFnTu-WWvMhezkfUk296pTtH-g7O5u-wXYF-CdFGGCDDtAjNVQZUw=w1260-h943-no?authuser=0"/>
        <xdr:cNvPicPr>
          <a:picLocks noChangeAspect="1" noChangeArrowheads="1"/>
        </xdr:cNvPicPr>
      </xdr:nvPicPr>
      <xdr:blipFill>
        <a:blip xmlns:r="http://schemas.openxmlformats.org/officeDocument/2006/relationships" r:embed="rId5"/>
        <a:srcRect/>
        <a:stretch>
          <a:fillRect/>
        </a:stretch>
      </xdr:blipFill>
      <xdr:spPr bwMode="auto">
        <a:xfrm>
          <a:off x="404192" y="556590"/>
          <a:ext cx="4287078" cy="2922106"/>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30</xdr:col>
      <xdr:colOff>22860</xdr:colOff>
      <xdr:row>30</xdr:row>
      <xdr:rowOff>22860</xdr:rowOff>
    </xdr:from>
    <xdr:to>
      <xdr:col>31</xdr:col>
      <xdr:colOff>205740</xdr:colOff>
      <xdr:row>33</xdr:row>
      <xdr:rowOff>30480</xdr:rowOff>
    </xdr:to>
    <xdr:pic>
      <xdr:nvPicPr>
        <xdr:cNvPr id="17488" name="Picture 5" descr="edadluna14"/>
        <xdr:cNvPicPr>
          <a:picLocks noChangeAspect="1" noChangeArrowheads="1"/>
        </xdr:cNvPicPr>
      </xdr:nvPicPr>
      <xdr:blipFill>
        <a:blip xmlns:r="http://schemas.openxmlformats.org/officeDocument/2006/relationships" r:embed="rId1" cstate="print"/>
        <a:srcRect/>
        <a:stretch>
          <a:fillRect/>
        </a:stretch>
      </xdr:blipFill>
      <xdr:spPr bwMode="auto">
        <a:xfrm>
          <a:off x="6880860" y="3467100"/>
          <a:ext cx="411480" cy="396240"/>
        </a:xfrm>
        <a:prstGeom prst="rect">
          <a:avLst/>
        </a:prstGeom>
        <a:noFill/>
        <a:ln w="9525">
          <a:noFill/>
          <a:miter lim="800000"/>
          <a:headEnd/>
          <a:tailEnd/>
        </a:ln>
      </xdr:spPr>
    </xdr:pic>
    <xdr:clientData/>
  </xdr:twoCellAnchor>
  <xdr:twoCellAnchor editAs="oneCell">
    <xdr:from>
      <xdr:col>33</xdr:col>
      <xdr:colOff>53340</xdr:colOff>
      <xdr:row>30</xdr:row>
      <xdr:rowOff>22860</xdr:rowOff>
    </xdr:from>
    <xdr:to>
      <xdr:col>34</xdr:col>
      <xdr:colOff>190500</xdr:colOff>
      <xdr:row>32</xdr:row>
      <xdr:rowOff>106680</xdr:rowOff>
    </xdr:to>
    <xdr:pic>
      <xdr:nvPicPr>
        <xdr:cNvPr id="17489" name="Picture 6" descr="edadluna21"/>
        <xdr:cNvPicPr>
          <a:picLocks noChangeAspect="1" noChangeArrowheads="1"/>
        </xdr:cNvPicPr>
      </xdr:nvPicPr>
      <xdr:blipFill>
        <a:blip xmlns:r="http://schemas.openxmlformats.org/officeDocument/2006/relationships" r:embed="rId2" cstate="print"/>
        <a:srcRect/>
        <a:stretch>
          <a:fillRect/>
        </a:stretch>
      </xdr:blipFill>
      <xdr:spPr bwMode="auto">
        <a:xfrm>
          <a:off x="7597140" y="3467100"/>
          <a:ext cx="365760" cy="342900"/>
        </a:xfrm>
        <a:prstGeom prst="rect">
          <a:avLst/>
        </a:prstGeom>
        <a:noFill/>
        <a:ln w="9525">
          <a:noFill/>
          <a:miter lim="800000"/>
          <a:headEnd/>
          <a:tailEnd/>
        </a:ln>
      </xdr:spPr>
    </xdr:pic>
    <xdr:clientData/>
  </xdr:twoCellAnchor>
  <xdr:twoCellAnchor editAs="oneCell">
    <xdr:from>
      <xdr:col>36</xdr:col>
      <xdr:colOff>22860</xdr:colOff>
      <xdr:row>30</xdr:row>
      <xdr:rowOff>22860</xdr:rowOff>
    </xdr:from>
    <xdr:to>
      <xdr:col>37</xdr:col>
      <xdr:colOff>205740</xdr:colOff>
      <xdr:row>33</xdr:row>
      <xdr:rowOff>0</xdr:rowOff>
    </xdr:to>
    <xdr:pic>
      <xdr:nvPicPr>
        <xdr:cNvPr id="17490" name="Picture 7" descr="edadluna0"/>
        <xdr:cNvPicPr>
          <a:picLocks noChangeAspect="1" noChangeArrowheads="1"/>
        </xdr:cNvPicPr>
      </xdr:nvPicPr>
      <xdr:blipFill>
        <a:blip xmlns:r="http://schemas.openxmlformats.org/officeDocument/2006/relationships" r:embed="rId3" cstate="print"/>
        <a:srcRect/>
        <a:stretch>
          <a:fillRect/>
        </a:stretch>
      </xdr:blipFill>
      <xdr:spPr bwMode="auto">
        <a:xfrm>
          <a:off x="8252460" y="3467100"/>
          <a:ext cx="411480" cy="365760"/>
        </a:xfrm>
        <a:prstGeom prst="rect">
          <a:avLst/>
        </a:prstGeom>
        <a:noFill/>
        <a:ln w="9525">
          <a:noFill/>
          <a:miter lim="800000"/>
          <a:headEnd/>
          <a:tailEnd/>
        </a:ln>
      </xdr:spPr>
    </xdr:pic>
    <xdr:clientData/>
  </xdr:twoCellAnchor>
  <xdr:twoCellAnchor editAs="oneCell">
    <xdr:from>
      <xdr:col>39</xdr:col>
      <xdr:colOff>22860</xdr:colOff>
      <xdr:row>30</xdr:row>
      <xdr:rowOff>30480</xdr:rowOff>
    </xdr:from>
    <xdr:to>
      <xdr:col>40</xdr:col>
      <xdr:colOff>175260</xdr:colOff>
      <xdr:row>33</xdr:row>
      <xdr:rowOff>0</xdr:rowOff>
    </xdr:to>
    <xdr:pic>
      <xdr:nvPicPr>
        <xdr:cNvPr id="17491" name="Picture 8" descr="edadluna7"/>
        <xdr:cNvPicPr>
          <a:picLocks noChangeAspect="1" noChangeArrowheads="1"/>
        </xdr:cNvPicPr>
      </xdr:nvPicPr>
      <xdr:blipFill>
        <a:blip xmlns:r="http://schemas.openxmlformats.org/officeDocument/2006/relationships" r:embed="rId4" cstate="print"/>
        <a:srcRect/>
        <a:stretch>
          <a:fillRect/>
        </a:stretch>
      </xdr:blipFill>
      <xdr:spPr bwMode="auto">
        <a:xfrm>
          <a:off x="8938260" y="3474720"/>
          <a:ext cx="381000" cy="358140"/>
        </a:xfrm>
        <a:prstGeom prst="rect">
          <a:avLst/>
        </a:prstGeom>
        <a:noFill/>
        <a:ln w="9525">
          <a:noFill/>
          <a:miter lim="800000"/>
          <a:headEnd/>
          <a:tailEnd/>
        </a:ln>
      </xdr:spPr>
    </xdr:pic>
    <xdr:clientData/>
  </xdr:twoCellAnchor>
  <xdr:twoCellAnchor editAs="oneCell">
    <xdr:from>
      <xdr:col>1</xdr:col>
      <xdr:colOff>205410</xdr:colOff>
      <xdr:row>2</xdr:row>
      <xdr:rowOff>36456</xdr:rowOff>
    </xdr:from>
    <xdr:to>
      <xdr:col>20</xdr:col>
      <xdr:colOff>59140</xdr:colOff>
      <xdr:row>29</xdr:row>
      <xdr:rowOff>106016</xdr:rowOff>
    </xdr:to>
    <xdr:pic>
      <xdr:nvPicPr>
        <xdr:cNvPr id="15361" name="Picture 1" descr="https://lh3.googleusercontent.com/pw/AL9nZEXPEo0DwWo70Ule3q_iAiw1faI4MRxRIxT-HdjttZRPN7sFndN383RuTLyrh__V9NdpGBTqHH1rd-0MKK-GbuveJ8n6GbncJA1LUDIxLHM-X4I1so6G5IWrYwUpgPRynvQemCgFBoUYtm7-kxuftEUXXA=w1260-h943-no?authuser=0"/>
        <xdr:cNvPicPr>
          <a:picLocks noChangeAspect="1" noChangeArrowheads="1"/>
        </xdr:cNvPicPr>
      </xdr:nvPicPr>
      <xdr:blipFill>
        <a:blip xmlns:r="http://schemas.openxmlformats.org/officeDocument/2006/relationships" r:embed="rId5"/>
        <a:srcRect/>
        <a:stretch>
          <a:fillRect/>
        </a:stretch>
      </xdr:blipFill>
      <xdr:spPr bwMode="auto">
        <a:xfrm>
          <a:off x="437323" y="281621"/>
          <a:ext cx="4260078" cy="3110934"/>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36</xdr:col>
      <xdr:colOff>22860</xdr:colOff>
      <xdr:row>30</xdr:row>
      <xdr:rowOff>7620</xdr:rowOff>
    </xdr:from>
    <xdr:to>
      <xdr:col>37</xdr:col>
      <xdr:colOff>205740</xdr:colOff>
      <xdr:row>32</xdr:row>
      <xdr:rowOff>121920</xdr:rowOff>
    </xdr:to>
    <xdr:pic>
      <xdr:nvPicPr>
        <xdr:cNvPr id="16464"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52460" y="3451860"/>
          <a:ext cx="411480" cy="373380"/>
        </a:xfrm>
        <a:prstGeom prst="rect">
          <a:avLst/>
        </a:prstGeom>
        <a:noFill/>
        <a:ln w="9525">
          <a:noFill/>
          <a:miter lim="800000"/>
          <a:headEnd/>
          <a:tailEnd/>
        </a:ln>
      </xdr:spPr>
    </xdr:pic>
    <xdr:clientData/>
  </xdr:twoCellAnchor>
  <xdr:twoCellAnchor editAs="oneCell">
    <xdr:from>
      <xdr:col>30</xdr:col>
      <xdr:colOff>22860</xdr:colOff>
      <xdr:row>30</xdr:row>
      <xdr:rowOff>22860</xdr:rowOff>
    </xdr:from>
    <xdr:to>
      <xdr:col>31</xdr:col>
      <xdr:colOff>205740</xdr:colOff>
      <xdr:row>33</xdr:row>
      <xdr:rowOff>30480</xdr:rowOff>
    </xdr:to>
    <xdr:pic>
      <xdr:nvPicPr>
        <xdr:cNvPr id="16465"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80860" y="3467100"/>
          <a:ext cx="411480" cy="396240"/>
        </a:xfrm>
        <a:prstGeom prst="rect">
          <a:avLst/>
        </a:prstGeom>
        <a:noFill/>
        <a:ln w="9525">
          <a:noFill/>
          <a:miter lim="800000"/>
          <a:headEnd/>
          <a:tailEnd/>
        </a:ln>
      </xdr:spPr>
    </xdr:pic>
    <xdr:clientData/>
  </xdr:twoCellAnchor>
  <xdr:twoCellAnchor editAs="oneCell">
    <xdr:from>
      <xdr:col>39</xdr:col>
      <xdr:colOff>38100</xdr:colOff>
      <xdr:row>30</xdr:row>
      <xdr:rowOff>22860</xdr:rowOff>
    </xdr:from>
    <xdr:to>
      <xdr:col>40</xdr:col>
      <xdr:colOff>198120</xdr:colOff>
      <xdr:row>32</xdr:row>
      <xdr:rowOff>121920</xdr:rowOff>
    </xdr:to>
    <xdr:pic>
      <xdr:nvPicPr>
        <xdr:cNvPr id="16466"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53500" y="3467100"/>
          <a:ext cx="388620" cy="358140"/>
        </a:xfrm>
        <a:prstGeom prst="rect">
          <a:avLst/>
        </a:prstGeom>
        <a:noFill/>
        <a:ln w="9525">
          <a:noFill/>
          <a:miter lim="800000"/>
          <a:headEnd/>
          <a:tailEnd/>
        </a:ln>
      </xdr:spPr>
    </xdr:pic>
    <xdr:clientData/>
  </xdr:twoCellAnchor>
  <xdr:twoCellAnchor editAs="oneCell">
    <xdr:from>
      <xdr:col>33</xdr:col>
      <xdr:colOff>60960</xdr:colOff>
      <xdr:row>30</xdr:row>
      <xdr:rowOff>22860</xdr:rowOff>
    </xdr:from>
    <xdr:to>
      <xdr:col>34</xdr:col>
      <xdr:colOff>198120</xdr:colOff>
      <xdr:row>32</xdr:row>
      <xdr:rowOff>106680</xdr:rowOff>
    </xdr:to>
    <xdr:pic>
      <xdr:nvPicPr>
        <xdr:cNvPr id="16467"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604760" y="3467100"/>
          <a:ext cx="365760" cy="342900"/>
        </a:xfrm>
        <a:prstGeom prst="rect">
          <a:avLst/>
        </a:prstGeom>
        <a:noFill/>
        <a:ln w="9525">
          <a:noFill/>
          <a:miter lim="800000"/>
          <a:headEnd/>
          <a:tailEnd/>
        </a:ln>
      </xdr:spPr>
    </xdr:pic>
    <xdr:clientData/>
  </xdr:twoCellAnchor>
  <xdr:twoCellAnchor editAs="oneCell">
    <xdr:from>
      <xdr:col>1</xdr:col>
      <xdr:colOff>196300</xdr:colOff>
      <xdr:row>2</xdr:row>
      <xdr:rowOff>6625</xdr:rowOff>
    </xdr:from>
    <xdr:to>
      <xdr:col>19</xdr:col>
      <xdr:colOff>145775</xdr:colOff>
      <xdr:row>28</xdr:row>
      <xdr:rowOff>87803</xdr:rowOff>
    </xdr:to>
    <xdr:pic>
      <xdr:nvPicPr>
        <xdr:cNvPr id="14337" name="Picture 1" descr="https://lh3.googleusercontent.com/pw/AL9nZEVE5bX867AcfL3ZaOgL0u0BG0xYBtUIOhzdcuaX0m2bR4QsgZi84YJeuUFFJhxan09Ms-mXdwBbdBf-XrKdjevJrAp3M5Nob_sLOWRr9GSBFoitCV-5j7oJ5-G5P_vGc_zKrtJjh_DcmkxJLHvEPhhaaA=w1260-h943-no?authuser=0"/>
        <xdr:cNvPicPr>
          <a:picLocks noChangeAspect="1" noChangeArrowheads="1"/>
        </xdr:cNvPicPr>
      </xdr:nvPicPr>
      <xdr:blipFill>
        <a:blip xmlns:r="http://schemas.openxmlformats.org/officeDocument/2006/relationships" r:embed="rId5" cstate="print"/>
        <a:srcRect/>
        <a:stretch>
          <a:fillRect/>
        </a:stretch>
      </xdr:blipFill>
      <xdr:spPr bwMode="auto">
        <a:xfrm>
          <a:off x="428213" y="251790"/>
          <a:ext cx="4123910" cy="3009909"/>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35</xdr:col>
      <xdr:colOff>205740</xdr:colOff>
      <xdr:row>30</xdr:row>
      <xdr:rowOff>22860</xdr:rowOff>
    </xdr:from>
    <xdr:to>
      <xdr:col>37</xdr:col>
      <xdr:colOff>167640</xdr:colOff>
      <xdr:row>33</xdr:row>
      <xdr:rowOff>0</xdr:rowOff>
    </xdr:to>
    <xdr:pic>
      <xdr:nvPicPr>
        <xdr:cNvPr id="15444"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06740" y="3467100"/>
          <a:ext cx="419100" cy="365760"/>
        </a:xfrm>
        <a:prstGeom prst="rect">
          <a:avLst/>
        </a:prstGeom>
        <a:noFill/>
        <a:ln w="9525">
          <a:noFill/>
          <a:miter lim="800000"/>
          <a:headEnd/>
          <a:tailEnd/>
        </a:ln>
      </xdr:spPr>
    </xdr:pic>
    <xdr:clientData/>
  </xdr:twoCellAnchor>
  <xdr:twoCellAnchor editAs="oneCell">
    <xdr:from>
      <xdr:col>30</xdr:col>
      <xdr:colOff>30480</xdr:colOff>
      <xdr:row>30</xdr:row>
      <xdr:rowOff>7620</xdr:rowOff>
    </xdr:from>
    <xdr:to>
      <xdr:col>31</xdr:col>
      <xdr:colOff>220980</xdr:colOff>
      <xdr:row>33</xdr:row>
      <xdr:rowOff>22860</xdr:rowOff>
    </xdr:to>
    <xdr:pic>
      <xdr:nvPicPr>
        <xdr:cNvPr id="15445"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88480" y="3451860"/>
          <a:ext cx="419100" cy="403860"/>
        </a:xfrm>
        <a:prstGeom prst="rect">
          <a:avLst/>
        </a:prstGeom>
        <a:noFill/>
        <a:ln w="9525">
          <a:noFill/>
          <a:miter lim="800000"/>
          <a:headEnd/>
          <a:tailEnd/>
        </a:ln>
      </xdr:spPr>
    </xdr:pic>
    <xdr:clientData/>
  </xdr:twoCellAnchor>
  <xdr:twoCellAnchor editAs="oneCell">
    <xdr:from>
      <xdr:col>39</xdr:col>
      <xdr:colOff>0</xdr:colOff>
      <xdr:row>30</xdr:row>
      <xdr:rowOff>7620</xdr:rowOff>
    </xdr:from>
    <xdr:to>
      <xdr:col>40</xdr:col>
      <xdr:colOff>160020</xdr:colOff>
      <xdr:row>32</xdr:row>
      <xdr:rowOff>114300</xdr:rowOff>
    </xdr:to>
    <xdr:pic>
      <xdr:nvPicPr>
        <xdr:cNvPr id="15446"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15400" y="3451860"/>
          <a:ext cx="388620" cy="365760"/>
        </a:xfrm>
        <a:prstGeom prst="rect">
          <a:avLst/>
        </a:prstGeom>
        <a:noFill/>
        <a:ln w="9525">
          <a:noFill/>
          <a:miter lim="800000"/>
          <a:headEnd/>
          <a:tailEnd/>
        </a:ln>
      </xdr:spPr>
    </xdr:pic>
    <xdr:clientData/>
  </xdr:twoCellAnchor>
  <xdr:twoCellAnchor editAs="oneCell">
    <xdr:from>
      <xdr:col>33</xdr:col>
      <xdr:colOff>22860</xdr:colOff>
      <xdr:row>30</xdr:row>
      <xdr:rowOff>22860</xdr:rowOff>
    </xdr:from>
    <xdr:to>
      <xdr:col>34</xdr:col>
      <xdr:colOff>160020</xdr:colOff>
      <xdr:row>32</xdr:row>
      <xdr:rowOff>106680</xdr:rowOff>
    </xdr:to>
    <xdr:pic>
      <xdr:nvPicPr>
        <xdr:cNvPr id="15447"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66660" y="3467100"/>
          <a:ext cx="365760" cy="342900"/>
        </a:xfrm>
        <a:prstGeom prst="rect">
          <a:avLst/>
        </a:prstGeom>
        <a:noFill/>
        <a:ln w="9525">
          <a:noFill/>
          <a:miter lim="800000"/>
          <a:headEnd/>
          <a:tailEnd/>
        </a:ln>
      </xdr:spPr>
    </xdr:pic>
    <xdr:clientData/>
  </xdr:twoCellAnchor>
  <xdr:twoCellAnchor editAs="oneCell">
    <xdr:from>
      <xdr:col>2</xdr:col>
      <xdr:colOff>0</xdr:colOff>
      <xdr:row>3</xdr:row>
      <xdr:rowOff>0</xdr:rowOff>
    </xdr:from>
    <xdr:to>
      <xdr:col>19</xdr:col>
      <xdr:colOff>225998</xdr:colOff>
      <xdr:row>27</xdr:row>
      <xdr:rowOff>15978</xdr:rowOff>
    </xdr:to>
    <xdr:pic>
      <xdr:nvPicPr>
        <xdr:cNvPr id="7" name="Picture 1" descr="https://lh3.googleusercontent.com/pw/AL9nZEWttLfA9JyN9T_4c7ysYwVrM2h97w9jy_D867Adbdovj1Va5BUOnlpZaQISkYV_hI5rm-61jesze1aaBZSYQaBJZXNG3A_m-JHpauWT7mDr-4N9txHBPThrxzu8-Vw9bvR5L9-yXQOqHfGiHloJQjaTdQ=w1260-h943-no?authuser=0"/>
        <xdr:cNvPicPr>
          <a:picLocks noChangeAspect="1" noChangeArrowheads="1"/>
        </xdr:cNvPicPr>
      </xdr:nvPicPr>
      <xdr:blipFill>
        <a:blip xmlns:r="http://schemas.openxmlformats.org/officeDocument/2006/relationships" r:embed="rId5" cstate="print"/>
        <a:srcRect/>
        <a:stretch>
          <a:fillRect/>
        </a:stretch>
      </xdr:blipFill>
      <xdr:spPr bwMode="auto">
        <a:xfrm>
          <a:off x="463826" y="357809"/>
          <a:ext cx="4168520" cy="2719421"/>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36</xdr:col>
      <xdr:colOff>30480</xdr:colOff>
      <xdr:row>30</xdr:row>
      <xdr:rowOff>7620</xdr:rowOff>
    </xdr:from>
    <xdr:to>
      <xdr:col>37</xdr:col>
      <xdr:colOff>220980</xdr:colOff>
      <xdr:row>32</xdr:row>
      <xdr:rowOff>121920</xdr:rowOff>
    </xdr:to>
    <xdr:pic>
      <xdr:nvPicPr>
        <xdr:cNvPr id="14417"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60080" y="3451860"/>
          <a:ext cx="419100" cy="373380"/>
        </a:xfrm>
        <a:prstGeom prst="rect">
          <a:avLst/>
        </a:prstGeom>
        <a:noFill/>
        <a:ln w="9525">
          <a:noFill/>
          <a:miter lim="800000"/>
          <a:headEnd/>
          <a:tailEnd/>
        </a:ln>
      </xdr:spPr>
    </xdr:pic>
    <xdr:clientData/>
  </xdr:twoCellAnchor>
  <xdr:twoCellAnchor editAs="oneCell">
    <xdr:from>
      <xdr:col>30</xdr:col>
      <xdr:colOff>7620</xdr:colOff>
      <xdr:row>30</xdr:row>
      <xdr:rowOff>7620</xdr:rowOff>
    </xdr:from>
    <xdr:to>
      <xdr:col>31</xdr:col>
      <xdr:colOff>198120</xdr:colOff>
      <xdr:row>33</xdr:row>
      <xdr:rowOff>22860</xdr:rowOff>
    </xdr:to>
    <xdr:pic>
      <xdr:nvPicPr>
        <xdr:cNvPr id="14418"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51860"/>
          <a:ext cx="419100" cy="403860"/>
        </a:xfrm>
        <a:prstGeom prst="rect">
          <a:avLst/>
        </a:prstGeom>
        <a:noFill/>
        <a:ln w="9525">
          <a:noFill/>
          <a:miter lim="800000"/>
          <a:headEnd/>
          <a:tailEnd/>
        </a:ln>
      </xdr:spPr>
    </xdr:pic>
    <xdr:clientData/>
  </xdr:twoCellAnchor>
  <xdr:twoCellAnchor editAs="oneCell">
    <xdr:from>
      <xdr:col>39</xdr:col>
      <xdr:colOff>60960</xdr:colOff>
      <xdr:row>30</xdr:row>
      <xdr:rowOff>22860</xdr:rowOff>
    </xdr:from>
    <xdr:to>
      <xdr:col>40</xdr:col>
      <xdr:colOff>220980</xdr:colOff>
      <xdr:row>32</xdr:row>
      <xdr:rowOff>121920</xdr:rowOff>
    </xdr:to>
    <xdr:pic>
      <xdr:nvPicPr>
        <xdr:cNvPr id="14419"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76360" y="3467100"/>
          <a:ext cx="388620" cy="358140"/>
        </a:xfrm>
        <a:prstGeom prst="rect">
          <a:avLst/>
        </a:prstGeom>
        <a:noFill/>
        <a:ln w="9525">
          <a:noFill/>
          <a:miter lim="800000"/>
          <a:headEnd/>
          <a:tailEnd/>
        </a:ln>
      </xdr:spPr>
    </xdr:pic>
    <xdr:clientData/>
  </xdr:twoCellAnchor>
  <xdr:twoCellAnchor editAs="oneCell">
    <xdr:from>
      <xdr:col>33</xdr:col>
      <xdr:colOff>60960</xdr:colOff>
      <xdr:row>30</xdr:row>
      <xdr:rowOff>22860</xdr:rowOff>
    </xdr:from>
    <xdr:to>
      <xdr:col>34</xdr:col>
      <xdr:colOff>198120</xdr:colOff>
      <xdr:row>32</xdr:row>
      <xdr:rowOff>106680</xdr:rowOff>
    </xdr:to>
    <xdr:pic>
      <xdr:nvPicPr>
        <xdr:cNvPr id="14420"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604760" y="3467100"/>
          <a:ext cx="365760" cy="342900"/>
        </a:xfrm>
        <a:prstGeom prst="rect">
          <a:avLst/>
        </a:prstGeom>
        <a:noFill/>
        <a:ln w="9525">
          <a:noFill/>
          <a:miter lim="800000"/>
          <a:headEnd/>
          <a:tailEnd/>
        </a:ln>
      </xdr:spPr>
    </xdr:pic>
    <xdr:clientData/>
  </xdr:twoCellAnchor>
  <xdr:twoCellAnchor editAs="oneCell">
    <xdr:from>
      <xdr:col>1</xdr:col>
      <xdr:colOff>88231</xdr:colOff>
      <xdr:row>2</xdr:row>
      <xdr:rowOff>26504</xdr:rowOff>
    </xdr:from>
    <xdr:to>
      <xdr:col>20</xdr:col>
      <xdr:colOff>79471</xdr:colOff>
      <xdr:row>29</xdr:row>
      <xdr:rowOff>53009</xdr:rowOff>
    </xdr:to>
    <xdr:pic>
      <xdr:nvPicPr>
        <xdr:cNvPr id="12289" name="Picture 1" descr="https://lh3.googleusercontent.com/pw/AL9nZEWkCya6xBt2AtDttD49YXZjjUGLZl_7ymAqjBCR99ElCFFHn1lJ_FJxIlAM_BPGruGxpDl_KbjgmBc3ILVT4r9tXrRyO6AKq1paSPZ5eYIiBy_5KAYmAZ7FjhLqjdXNRNTRZ80rQbRvRVGIHy6FSib6PA=w1260-h943-no?authuser=0"/>
        <xdr:cNvPicPr>
          <a:picLocks noChangeAspect="1" noChangeArrowheads="1"/>
        </xdr:cNvPicPr>
      </xdr:nvPicPr>
      <xdr:blipFill>
        <a:blip xmlns:r="http://schemas.openxmlformats.org/officeDocument/2006/relationships" r:embed="rId5"/>
        <a:srcRect/>
        <a:stretch>
          <a:fillRect/>
        </a:stretch>
      </xdr:blipFill>
      <xdr:spPr bwMode="auto">
        <a:xfrm>
          <a:off x="320144" y="271669"/>
          <a:ext cx="4397588" cy="3067879"/>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36</xdr:col>
      <xdr:colOff>0</xdr:colOff>
      <xdr:row>30</xdr:row>
      <xdr:rowOff>22860</xdr:rowOff>
    </xdr:from>
    <xdr:to>
      <xdr:col>37</xdr:col>
      <xdr:colOff>178054</xdr:colOff>
      <xdr:row>33</xdr:row>
      <xdr:rowOff>0</xdr:rowOff>
    </xdr:to>
    <xdr:pic>
      <xdr:nvPicPr>
        <xdr:cNvPr id="13394" name="Picture 5"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29600" y="3467100"/>
          <a:ext cx="419100" cy="365760"/>
        </a:xfrm>
        <a:prstGeom prst="rect">
          <a:avLst/>
        </a:prstGeom>
        <a:noFill/>
        <a:ln w="9525">
          <a:noFill/>
          <a:miter lim="800000"/>
          <a:headEnd/>
          <a:tailEnd/>
        </a:ln>
      </xdr:spPr>
    </xdr:pic>
    <xdr:clientData/>
  </xdr:twoCellAnchor>
  <xdr:twoCellAnchor editAs="oneCell">
    <xdr:from>
      <xdr:col>30</xdr:col>
      <xdr:colOff>7620</xdr:colOff>
      <xdr:row>30</xdr:row>
      <xdr:rowOff>22860</xdr:rowOff>
    </xdr:from>
    <xdr:to>
      <xdr:col>31</xdr:col>
      <xdr:colOff>198120</xdr:colOff>
      <xdr:row>33</xdr:row>
      <xdr:rowOff>30480</xdr:rowOff>
    </xdr:to>
    <xdr:pic>
      <xdr:nvPicPr>
        <xdr:cNvPr id="13395" name="Picture 6"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67100"/>
          <a:ext cx="419100" cy="396240"/>
        </a:xfrm>
        <a:prstGeom prst="rect">
          <a:avLst/>
        </a:prstGeom>
        <a:noFill/>
        <a:ln w="9525">
          <a:noFill/>
          <a:miter lim="800000"/>
          <a:headEnd/>
          <a:tailEnd/>
        </a:ln>
      </xdr:spPr>
    </xdr:pic>
    <xdr:clientData/>
  </xdr:twoCellAnchor>
  <xdr:twoCellAnchor editAs="oneCell">
    <xdr:from>
      <xdr:col>39</xdr:col>
      <xdr:colOff>22860</xdr:colOff>
      <xdr:row>30</xdr:row>
      <xdr:rowOff>7620</xdr:rowOff>
    </xdr:from>
    <xdr:to>
      <xdr:col>40</xdr:col>
      <xdr:colOff>162814</xdr:colOff>
      <xdr:row>32</xdr:row>
      <xdr:rowOff>114300</xdr:rowOff>
    </xdr:to>
    <xdr:pic>
      <xdr:nvPicPr>
        <xdr:cNvPr id="13396" name="Picture 7"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38260" y="3451860"/>
          <a:ext cx="381000" cy="365760"/>
        </a:xfrm>
        <a:prstGeom prst="rect">
          <a:avLst/>
        </a:prstGeom>
        <a:noFill/>
        <a:ln w="9525">
          <a:noFill/>
          <a:miter lim="800000"/>
          <a:headEnd/>
          <a:tailEnd/>
        </a:ln>
      </xdr:spPr>
    </xdr:pic>
    <xdr:clientData/>
  </xdr:twoCellAnchor>
  <xdr:twoCellAnchor editAs="oneCell">
    <xdr:from>
      <xdr:col>33</xdr:col>
      <xdr:colOff>53340</xdr:colOff>
      <xdr:row>30</xdr:row>
      <xdr:rowOff>30480</xdr:rowOff>
    </xdr:from>
    <xdr:to>
      <xdr:col>34</xdr:col>
      <xdr:colOff>190500</xdr:colOff>
      <xdr:row>32</xdr:row>
      <xdr:rowOff>114300</xdr:rowOff>
    </xdr:to>
    <xdr:pic>
      <xdr:nvPicPr>
        <xdr:cNvPr id="13397" name="Picture 8"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97140" y="3474720"/>
          <a:ext cx="365760" cy="342900"/>
        </a:xfrm>
        <a:prstGeom prst="rect">
          <a:avLst/>
        </a:prstGeom>
        <a:noFill/>
        <a:ln w="9525">
          <a:noFill/>
          <a:miter lim="800000"/>
          <a:headEnd/>
          <a:tailEnd/>
        </a:ln>
      </xdr:spPr>
    </xdr:pic>
    <xdr:clientData/>
  </xdr:twoCellAnchor>
  <xdr:twoCellAnchor editAs="oneCell">
    <xdr:from>
      <xdr:col>2</xdr:col>
      <xdr:colOff>5567</xdr:colOff>
      <xdr:row>2</xdr:row>
      <xdr:rowOff>73660</xdr:rowOff>
    </xdr:from>
    <xdr:to>
      <xdr:col>19</xdr:col>
      <xdr:colOff>215900</xdr:colOff>
      <xdr:row>30</xdr:row>
      <xdr:rowOff>82550</xdr:rowOff>
    </xdr:to>
    <xdr:pic>
      <xdr:nvPicPr>
        <xdr:cNvPr id="11265" name="Picture 1" descr="https://lh3.googleusercontent.com/pw/AL9nZEXPL06xPewKDE9O5r6CogOe0Ld_JgCX2nYNs715u8gGkRk1hmo6ZkllYFUel5KuL2H_0E5Mepz2LR_6-LDNRFiCOYQPtqI8vs1yJrz0dHcVA0PeKe793kB4tB8zmwg4WpUhS0Kf5uLOqw3AARreXpp8Cg=w1260-h943-no?authuser=0"/>
        <xdr:cNvPicPr>
          <a:picLocks noChangeAspect="1" noChangeArrowheads="1"/>
        </xdr:cNvPicPr>
      </xdr:nvPicPr>
      <xdr:blipFill>
        <a:blip xmlns:r="http://schemas.openxmlformats.org/officeDocument/2006/relationships" r:embed="rId5"/>
        <a:srcRect/>
        <a:stretch>
          <a:fillRect/>
        </a:stretch>
      </xdr:blipFill>
      <xdr:spPr bwMode="auto">
        <a:xfrm>
          <a:off x="316717" y="314960"/>
          <a:ext cx="4160033" cy="320929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36</xdr:col>
      <xdr:colOff>0</xdr:colOff>
      <xdr:row>30</xdr:row>
      <xdr:rowOff>30480</xdr:rowOff>
    </xdr:from>
    <xdr:to>
      <xdr:col>37</xdr:col>
      <xdr:colOff>190500</xdr:colOff>
      <xdr:row>33</xdr:row>
      <xdr:rowOff>7620</xdr:rowOff>
    </xdr:to>
    <xdr:pic>
      <xdr:nvPicPr>
        <xdr:cNvPr id="12369" name="Picture 4" descr="edadluna0"/>
        <xdr:cNvPicPr>
          <a:picLocks noChangeAspect="1" noChangeArrowheads="1"/>
        </xdr:cNvPicPr>
      </xdr:nvPicPr>
      <xdr:blipFill>
        <a:blip xmlns:r="http://schemas.openxmlformats.org/officeDocument/2006/relationships" r:embed="rId1" cstate="print"/>
        <a:srcRect/>
        <a:stretch>
          <a:fillRect/>
        </a:stretch>
      </xdr:blipFill>
      <xdr:spPr bwMode="auto">
        <a:xfrm>
          <a:off x="8229600" y="3474720"/>
          <a:ext cx="419100" cy="365760"/>
        </a:xfrm>
        <a:prstGeom prst="rect">
          <a:avLst/>
        </a:prstGeom>
        <a:noFill/>
        <a:ln w="9525">
          <a:noFill/>
          <a:miter lim="800000"/>
          <a:headEnd/>
          <a:tailEnd/>
        </a:ln>
      </xdr:spPr>
    </xdr:pic>
    <xdr:clientData/>
  </xdr:twoCellAnchor>
  <xdr:twoCellAnchor editAs="oneCell">
    <xdr:from>
      <xdr:col>30</xdr:col>
      <xdr:colOff>7620</xdr:colOff>
      <xdr:row>30</xdr:row>
      <xdr:rowOff>0</xdr:rowOff>
    </xdr:from>
    <xdr:to>
      <xdr:col>31</xdr:col>
      <xdr:colOff>198120</xdr:colOff>
      <xdr:row>33</xdr:row>
      <xdr:rowOff>7620</xdr:rowOff>
    </xdr:to>
    <xdr:pic>
      <xdr:nvPicPr>
        <xdr:cNvPr id="12370" name="Picture 5" descr="edadluna14"/>
        <xdr:cNvPicPr>
          <a:picLocks noChangeAspect="1" noChangeArrowheads="1"/>
        </xdr:cNvPicPr>
      </xdr:nvPicPr>
      <xdr:blipFill>
        <a:blip xmlns:r="http://schemas.openxmlformats.org/officeDocument/2006/relationships" r:embed="rId2" cstate="print"/>
        <a:srcRect/>
        <a:stretch>
          <a:fillRect/>
        </a:stretch>
      </xdr:blipFill>
      <xdr:spPr bwMode="auto">
        <a:xfrm>
          <a:off x="6865620" y="3444240"/>
          <a:ext cx="419100" cy="396240"/>
        </a:xfrm>
        <a:prstGeom prst="rect">
          <a:avLst/>
        </a:prstGeom>
        <a:noFill/>
        <a:ln w="9525">
          <a:noFill/>
          <a:miter lim="800000"/>
          <a:headEnd/>
          <a:tailEnd/>
        </a:ln>
      </xdr:spPr>
    </xdr:pic>
    <xdr:clientData/>
  </xdr:twoCellAnchor>
  <xdr:twoCellAnchor editAs="oneCell">
    <xdr:from>
      <xdr:col>39</xdr:col>
      <xdr:colOff>0</xdr:colOff>
      <xdr:row>30</xdr:row>
      <xdr:rowOff>22860</xdr:rowOff>
    </xdr:from>
    <xdr:to>
      <xdr:col>40</xdr:col>
      <xdr:colOff>160020</xdr:colOff>
      <xdr:row>32</xdr:row>
      <xdr:rowOff>121920</xdr:rowOff>
    </xdr:to>
    <xdr:pic>
      <xdr:nvPicPr>
        <xdr:cNvPr id="12371" name="Picture 6" descr="edadluna7"/>
        <xdr:cNvPicPr>
          <a:picLocks noChangeAspect="1" noChangeArrowheads="1"/>
        </xdr:cNvPicPr>
      </xdr:nvPicPr>
      <xdr:blipFill>
        <a:blip xmlns:r="http://schemas.openxmlformats.org/officeDocument/2006/relationships" r:embed="rId3" cstate="print"/>
        <a:srcRect/>
        <a:stretch>
          <a:fillRect/>
        </a:stretch>
      </xdr:blipFill>
      <xdr:spPr bwMode="auto">
        <a:xfrm>
          <a:off x="8915400" y="3467100"/>
          <a:ext cx="388620" cy="358140"/>
        </a:xfrm>
        <a:prstGeom prst="rect">
          <a:avLst/>
        </a:prstGeom>
        <a:noFill/>
        <a:ln w="9525">
          <a:noFill/>
          <a:miter lim="800000"/>
          <a:headEnd/>
          <a:tailEnd/>
        </a:ln>
      </xdr:spPr>
    </xdr:pic>
    <xdr:clientData/>
  </xdr:twoCellAnchor>
  <xdr:twoCellAnchor editAs="oneCell">
    <xdr:from>
      <xdr:col>33</xdr:col>
      <xdr:colOff>22860</xdr:colOff>
      <xdr:row>30</xdr:row>
      <xdr:rowOff>22860</xdr:rowOff>
    </xdr:from>
    <xdr:to>
      <xdr:col>34</xdr:col>
      <xdr:colOff>160020</xdr:colOff>
      <xdr:row>32</xdr:row>
      <xdr:rowOff>106680</xdr:rowOff>
    </xdr:to>
    <xdr:pic>
      <xdr:nvPicPr>
        <xdr:cNvPr id="12372" name="Picture 7" descr="edadluna21"/>
        <xdr:cNvPicPr>
          <a:picLocks noChangeAspect="1" noChangeArrowheads="1"/>
        </xdr:cNvPicPr>
      </xdr:nvPicPr>
      <xdr:blipFill>
        <a:blip xmlns:r="http://schemas.openxmlformats.org/officeDocument/2006/relationships" r:embed="rId4" cstate="print"/>
        <a:srcRect/>
        <a:stretch>
          <a:fillRect/>
        </a:stretch>
      </xdr:blipFill>
      <xdr:spPr bwMode="auto">
        <a:xfrm>
          <a:off x="7566660" y="3467100"/>
          <a:ext cx="365760" cy="342900"/>
        </a:xfrm>
        <a:prstGeom prst="rect">
          <a:avLst/>
        </a:prstGeom>
        <a:noFill/>
        <a:ln w="9525">
          <a:noFill/>
          <a:miter lim="800000"/>
          <a:headEnd/>
          <a:tailEnd/>
        </a:ln>
      </xdr:spPr>
    </xdr:pic>
    <xdr:clientData/>
  </xdr:twoCellAnchor>
  <xdr:twoCellAnchor editAs="oneCell">
    <xdr:from>
      <xdr:col>1</xdr:col>
      <xdr:colOff>193614</xdr:colOff>
      <xdr:row>2</xdr:row>
      <xdr:rowOff>24384</xdr:rowOff>
    </xdr:from>
    <xdr:to>
      <xdr:col>19</xdr:col>
      <xdr:colOff>226451</xdr:colOff>
      <xdr:row>29</xdr:row>
      <xdr:rowOff>45720</xdr:rowOff>
    </xdr:to>
    <xdr:pic>
      <xdr:nvPicPr>
        <xdr:cNvPr id="10241" name="Picture 1" descr="https://lh3.googleusercontent.com/pw/AL9nZEUcuNV2TsvhdwMdajaNuVbfsAD1x6utN4Yo1WCKkAizDsa-24sh6Qf9e9JZI3gSqBqot9r2EvvOVIfuxq1WZQo6VUc9XqRAzDKQ6D0kE3gPQGigX-baLu0UpmFDckst_b5tfxjA4vV5HX-klPcfJGD7og=w1260-h943-no?authuser=0"/>
        <xdr:cNvPicPr>
          <a:picLocks noChangeAspect="1" noChangeArrowheads="1"/>
        </xdr:cNvPicPr>
      </xdr:nvPicPr>
      <xdr:blipFill>
        <a:blip xmlns:r="http://schemas.openxmlformats.org/officeDocument/2006/relationships" r:embed="rId5" cstate="print"/>
        <a:srcRect/>
        <a:stretch>
          <a:fillRect/>
        </a:stretch>
      </xdr:blipFill>
      <xdr:spPr bwMode="auto">
        <a:xfrm>
          <a:off x="425262" y="268224"/>
          <a:ext cx="4202501" cy="3148584"/>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sheetPr codeName="Hoja2"/>
  <dimension ref="A1:V428"/>
  <sheetViews>
    <sheetView showGridLines="0" showZeros="0" showOutlineSymbols="0" topLeftCell="C65" workbookViewId="0">
      <selection activeCell="K81" sqref="K81"/>
    </sheetView>
  </sheetViews>
  <sheetFormatPr baseColWidth="10" defaultColWidth="11.5546875" defaultRowHeight="13.2"/>
  <cols>
    <col min="1" max="1" width="17.109375" customWidth="1"/>
    <col min="2" max="4" width="4.5546875" customWidth="1"/>
    <col min="5" max="5" width="6.88671875" customWidth="1"/>
    <col min="6" max="6" width="12.44140625" customWidth="1"/>
    <col min="7" max="8" width="4.5546875" customWidth="1"/>
    <col min="9" max="9" width="12.5546875" customWidth="1"/>
    <col min="10" max="10" width="4.5546875" customWidth="1"/>
    <col min="11" max="11" width="57.77734375" customWidth="1"/>
    <col min="12" max="12" width="6.5546875" customWidth="1"/>
    <col min="13" max="13" width="7.6640625" customWidth="1"/>
    <col min="14" max="14" width="8.33203125" customWidth="1"/>
    <col min="15" max="15" width="21" customWidth="1"/>
    <col min="16" max="16" width="11.109375" customWidth="1"/>
    <col min="17" max="17" width="12.88671875" customWidth="1"/>
    <col min="18" max="18" width="4.5546875" customWidth="1"/>
    <col min="19" max="19" width="8" customWidth="1"/>
    <col min="20" max="22" width="4.5546875" customWidth="1"/>
    <col min="23" max="46" width="11.5546875" customWidth="1"/>
  </cols>
  <sheetData>
    <row r="1" spans="1:14" ht="15.6">
      <c r="A1" s="97" t="s">
        <v>260</v>
      </c>
    </row>
    <row r="2" spans="1:14" ht="15">
      <c r="A2" s="98" t="s">
        <v>261</v>
      </c>
    </row>
    <row r="3" spans="1:14" ht="15">
      <c r="A3" s="98" t="s">
        <v>365</v>
      </c>
    </row>
    <row r="4" spans="1:14" ht="15">
      <c r="A4" s="98"/>
    </row>
    <row r="5" spans="1:14" ht="15">
      <c r="A5" s="98" t="s">
        <v>262</v>
      </c>
    </row>
    <row r="6" spans="1:14" ht="15">
      <c r="A6" s="98" t="s">
        <v>263</v>
      </c>
    </row>
    <row r="7" spans="1:14" ht="15">
      <c r="A7" s="98" t="s">
        <v>264</v>
      </c>
    </row>
    <row r="8" spans="1:14" ht="15">
      <c r="A8" s="98"/>
    </row>
    <row r="9" spans="1:14" ht="15">
      <c r="A9" s="98" t="s">
        <v>265</v>
      </c>
    </row>
    <row r="10" spans="1:14" ht="15">
      <c r="A10" s="98" t="s">
        <v>266</v>
      </c>
    </row>
    <row r="11" spans="1:14" ht="15">
      <c r="A11" s="98"/>
    </row>
    <row r="12" spans="1:14" ht="15">
      <c r="A12" s="98" t="s">
        <v>267</v>
      </c>
    </row>
    <row r="13" spans="1:14" ht="15.6">
      <c r="A13" s="98" t="s">
        <v>366</v>
      </c>
    </row>
    <row r="14" spans="1:14">
      <c r="C14" t="s">
        <v>268</v>
      </c>
      <c r="D14">
        <v>1583</v>
      </c>
      <c r="E14">
        <f>MOD(D14,19)</f>
        <v>6</v>
      </c>
      <c r="G14" s="99" t="s">
        <v>269</v>
      </c>
      <c r="J14" s="100" t="s">
        <v>270</v>
      </c>
    </row>
    <row r="15" spans="1:14">
      <c r="E15">
        <f>E14*11</f>
        <v>66</v>
      </c>
      <c r="F15">
        <f>MOD(E15,30)</f>
        <v>6</v>
      </c>
      <c r="G15">
        <f>F15-1</f>
        <v>5</v>
      </c>
    </row>
    <row r="16" spans="1:14" ht="15.6">
      <c r="I16" s="729">
        <f>E37</f>
        <v>2024</v>
      </c>
      <c r="J16" s="730"/>
      <c r="K16" s="8">
        <f>L16/4</f>
        <v>506</v>
      </c>
      <c r="L16" s="731">
        <f>I16</f>
        <v>2024</v>
      </c>
      <c r="M16" s="732"/>
      <c r="N16" s="8">
        <f>INT(L16/4)</f>
        <v>506</v>
      </c>
    </row>
    <row r="17" spans="1:17">
      <c r="I17" s="3"/>
      <c r="J17" s="26">
        <f>MOD(L16,400)</f>
        <v>24</v>
      </c>
      <c r="K17" s="11">
        <f>MOD(L16,100)</f>
        <v>24</v>
      </c>
      <c r="L17" s="6"/>
      <c r="M17" s="11">
        <f>MOD(I16,4)</f>
        <v>0</v>
      </c>
      <c r="N17" s="6"/>
    </row>
    <row r="18" spans="1:17">
      <c r="D18">
        <v>1</v>
      </c>
      <c r="E18">
        <v>2</v>
      </c>
      <c r="L18" s="6"/>
      <c r="M18" s="733">
        <f>I16-1900</f>
        <v>124</v>
      </c>
      <c r="N18" s="734"/>
    </row>
    <row r="19" spans="1:17">
      <c r="D19">
        <v>1</v>
      </c>
      <c r="E19">
        <v>0</v>
      </c>
      <c r="J19" s="6">
        <f>IF(AND(K16=N16,K17&lt;&gt;0,L16&lt;&gt;1900),1,IF(J17=0,1,0))</f>
        <v>1</v>
      </c>
      <c r="K19" s="7" t="s">
        <v>97</v>
      </c>
      <c r="O19" s="13"/>
      <c r="P19" s="13"/>
      <c r="Q19" s="13"/>
    </row>
    <row r="20" spans="1:17">
      <c r="E20">
        <v>0</v>
      </c>
      <c r="J20" s="6">
        <f>IF(OR(AND(M17=0,K17&lt;&gt;0),J17=0),1,0)</f>
        <v>1</v>
      </c>
      <c r="K20" s="13"/>
      <c r="O20" s="735"/>
      <c r="P20" s="736"/>
      <c r="Q20" s="14"/>
    </row>
    <row r="21" spans="1:17">
      <c r="E21">
        <v>17</v>
      </c>
      <c r="J21" s="6"/>
      <c r="K21" s="13"/>
      <c r="O21" s="14"/>
      <c r="P21" s="14"/>
      <c r="Q21" s="14"/>
    </row>
    <row r="22" spans="1:17">
      <c r="E22">
        <f>SUM(E18:E21)</f>
        <v>19</v>
      </c>
      <c r="F22">
        <f>E22*11</f>
        <v>209</v>
      </c>
      <c r="G22">
        <f>F22+D18+D19</f>
        <v>211</v>
      </c>
      <c r="H22">
        <f>MOD(G22,30)</f>
        <v>1</v>
      </c>
      <c r="J22" s="6"/>
      <c r="K22" s="40">
        <f>MOD(N29,7)</f>
        <v>6</v>
      </c>
      <c r="M22" t="s">
        <v>271</v>
      </c>
      <c r="N22" t="s">
        <v>272</v>
      </c>
      <c r="O22" s="6" t="s">
        <v>273</v>
      </c>
      <c r="P22" s="728"/>
      <c r="Q22" s="728"/>
    </row>
    <row r="23" spans="1:17">
      <c r="L23">
        <v>1995</v>
      </c>
      <c r="M23">
        <v>1</v>
      </c>
      <c r="N23">
        <v>0</v>
      </c>
      <c r="O23" s="101">
        <v>39916</v>
      </c>
    </row>
    <row r="24" spans="1:17">
      <c r="L24">
        <v>1996</v>
      </c>
      <c r="M24">
        <v>2</v>
      </c>
      <c r="N24">
        <v>11</v>
      </c>
      <c r="O24" s="101">
        <v>39906</v>
      </c>
    </row>
    <row r="25" spans="1:17" ht="15.6">
      <c r="A25" s="102" t="s">
        <v>274</v>
      </c>
      <c r="L25">
        <v>1997</v>
      </c>
      <c r="M25">
        <v>3</v>
      </c>
      <c r="N25">
        <v>22</v>
      </c>
      <c r="O25" s="101">
        <v>39895</v>
      </c>
    </row>
    <row r="26" spans="1:17" ht="15">
      <c r="A26" s="98" t="s">
        <v>275</v>
      </c>
      <c r="L26">
        <v>1998</v>
      </c>
      <c r="M26">
        <v>4</v>
      </c>
      <c r="N26">
        <v>3</v>
      </c>
      <c r="O26" s="101">
        <v>39914</v>
      </c>
    </row>
    <row r="27" spans="1:17" ht="15">
      <c r="A27" s="98" t="s">
        <v>276</v>
      </c>
      <c r="L27">
        <v>1999</v>
      </c>
      <c r="M27">
        <v>5</v>
      </c>
      <c r="N27">
        <v>14</v>
      </c>
      <c r="O27" s="101">
        <v>39902</v>
      </c>
    </row>
    <row r="28" spans="1:17" ht="15">
      <c r="A28" s="98"/>
      <c r="L28">
        <v>2000</v>
      </c>
      <c r="M28">
        <v>6</v>
      </c>
      <c r="N28">
        <v>25</v>
      </c>
      <c r="O28" s="101">
        <v>39917</v>
      </c>
    </row>
    <row r="29" spans="1:17" ht="15">
      <c r="A29" s="98" t="s">
        <v>277</v>
      </c>
      <c r="L29">
        <v>2001</v>
      </c>
      <c r="M29">
        <v>7</v>
      </c>
      <c r="N29">
        <v>6</v>
      </c>
      <c r="O29" s="101">
        <v>39911</v>
      </c>
    </row>
    <row r="30" spans="1:17" ht="15">
      <c r="A30" s="98" t="s">
        <v>278</v>
      </c>
      <c r="L30">
        <v>2002</v>
      </c>
      <c r="M30">
        <v>8</v>
      </c>
      <c r="N30">
        <v>17</v>
      </c>
      <c r="O30" s="101">
        <v>39900</v>
      </c>
    </row>
    <row r="31" spans="1:17" ht="15">
      <c r="A31" s="98" t="s">
        <v>279</v>
      </c>
      <c r="L31">
        <v>2003</v>
      </c>
      <c r="M31">
        <v>9</v>
      </c>
      <c r="N31">
        <v>28</v>
      </c>
      <c r="O31" s="101">
        <v>39918</v>
      </c>
    </row>
    <row r="32" spans="1:17" ht="15">
      <c r="A32" s="98" t="s">
        <v>280</v>
      </c>
      <c r="J32">
        <v>0</v>
      </c>
      <c r="K32" s="103" t="s">
        <v>281</v>
      </c>
      <c r="L32">
        <v>2004</v>
      </c>
      <c r="M32">
        <v>10</v>
      </c>
      <c r="N32">
        <v>9</v>
      </c>
      <c r="O32" s="101">
        <v>39908</v>
      </c>
    </row>
    <row r="33" spans="1:15" ht="15">
      <c r="A33" s="98" t="s">
        <v>282</v>
      </c>
      <c r="J33">
        <v>1</v>
      </c>
      <c r="K33" t="s">
        <v>281</v>
      </c>
      <c r="L33">
        <v>2005</v>
      </c>
      <c r="M33">
        <v>11</v>
      </c>
      <c r="N33">
        <v>20</v>
      </c>
      <c r="O33" s="101">
        <v>39898</v>
      </c>
    </row>
    <row r="34" spans="1:15" ht="15">
      <c r="A34" s="98"/>
      <c r="E34">
        <v>1</v>
      </c>
      <c r="F34">
        <v>1</v>
      </c>
      <c r="J34">
        <v>2</v>
      </c>
      <c r="K34" t="s">
        <v>281</v>
      </c>
      <c r="L34">
        <v>2006</v>
      </c>
      <c r="M34">
        <v>12</v>
      </c>
      <c r="N34">
        <v>1</v>
      </c>
      <c r="O34" s="101">
        <v>39916</v>
      </c>
    </row>
    <row r="35" spans="1:15" ht="15.6">
      <c r="A35" s="104" t="s">
        <v>283</v>
      </c>
      <c r="B35" s="39">
        <v>1</v>
      </c>
      <c r="C35" s="105" t="s">
        <v>284</v>
      </c>
      <c r="D35" s="39">
        <v>0</v>
      </c>
      <c r="E35" t="s">
        <v>268</v>
      </c>
      <c r="F35" s="106">
        <f>E37</f>
        <v>2024</v>
      </c>
      <c r="G35" s="106">
        <f>MOD(F36,19)</f>
        <v>10</v>
      </c>
      <c r="I35" s="99" t="s">
        <v>269</v>
      </c>
      <c r="J35">
        <v>3</v>
      </c>
      <c r="K35" t="s">
        <v>281</v>
      </c>
      <c r="L35">
        <v>2007</v>
      </c>
      <c r="M35">
        <v>13</v>
      </c>
      <c r="N35">
        <v>12</v>
      </c>
      <c r="O35" s="101">
        <v>39904</v>
      </c>
    </row>
    <row r="36" spans="1:15" ht="15.6">
      <c r="A36" s="104" t="s">
        <v>285</v>
      </c>
      <c r="B36" s="39">
        <v>2</v>
      </c>
      <c r="C36" s="105" t="s">
        <v>286</v>
      </c>
      <c r="D36" s="39">
        <v>1</v>
      </c>
      <c r="E36" s="92">
        <f>calendario!$AH$4</f>
        <v>2024</v>
      </c>
      <c r="F36" s="92">
        <f>E36</f>
        <v>2024</v>
      </c>
      <c r="G36">
        <f>G35*11</f>
        <v>110</v>
      </c>
      <c r="H36">
        <f>MOD(G36,30)</f>
        <v>20</v>
      </c>
      <c r="I36">
        <f>IF(A69&gt;-1,A69,0)</f>
        <v>19</v>
      </c>
      <c r="J36">
        <v>4</v>
      </c>
      <c r="K36" t="s">
        <v>281</v>
      </c>
      <c r="L36">
        <v>2008</v>
      </c>
      <c r="M36">
        <v>14</v>
      </c>
      <c r="N36">
        <v>23</v>
      </c>
      <c r="O36" s="101">
        <v>39894</v>
      </c>
    </row>
    <row r="37" spans="1:15" ht="15.6">
      <c r="A37" s="104" t="s">
        <v>115</v>
      </c>
      <c r="B37" s="39">
        <v>3</v>
      </c>
      <c r="C37" s="105" t="s">
        <v>287</v>
      </c>
      <c r="D37" s="39">
        <v>0</v>
      </c>
      <c r="E37" s="108">
        <f>calendario!$AG$21</f>
        <v>2024</v>
      </c>
      <c r="F37" t="str">
        <f>VLOOKUP(F34,B35:D46,2)</f>
        <v>01</v>
      </c>
      <c r="I37" t="str">
        <f>VLOOKUP(I36,J32:K61,2)</f>
        <v>Luna Llena</v>
      </c>
      <c r="J37">
        <v>5</v>
      </c>
      <c r="K37" t="s">
        <v>281</v>
      </c>
      <c r="L37">
        <v>2009</v>
      </c>
      <c r="M37">
        <v>15</v>
      </c>
      <c r="N37">
        <v>4</v>
      </c>
      <c r="O37" s="101">
        <v>39913</v>
      </c>
    </row>
    <row r="38" spans="1:15" ht="15.6">
      <c r="A38" s="104" t="s">
        <v>116</v>
      </c>
      <c r="B38" s="39">
        <v>4</v>
      </c>
      <c r="C38" s="105" t="s">
        <v>288</v>
      </c>
      <c r="D38" s="39">
        <v>1</v>
      </c>
      <c r="J38">
        <v>6</v>
      </c>
      <c r="K38" t="s">
        <v>289</v>
      </c>
      <c r="L38">
        <v>2010</v>
      </c>
      <c r="M38">
        <v>16</v>
      </c>
      <c r="N38">
        <v>15</v>
      </c>
      <c r="O38" s="101">
        <v>39902</v>
      </c>
    </row>
    <row r="39" spans="1:15" ht="15.6">
      <c r="A39" s="104" t="s">
        <v>117</v>
      </c>
      <c r="B39" s="39">
        <v>5</v>
      </c>
      <c r="C39" s="105" t="s">
        <v>290</v>
      </c>
      <c r="D39" s="39">
        <v>2</v>
      </c>
      <c r="E39">
        <f>I36+E34+F37</f>
        <v>21</v>
      </c>
      <c r="F39">
        <f>MOD(E39,30)</f>
        <v>21</v>
      </c>
      <c r="G39" t="str">
        <f>VLOOKUP(F39,J32:K61,2)</f>
        <v>Cuarto Menguante</v>
      </c>
      <c r="J39">
        <v>7</v>
      </c>
      <c r="K39" s="103" t="s">
        <v>289</v>
      </c>
      <c r="L39">
        <v>2011</v>
      </c>
      <c r="M39">
        <v>17</v>
      </c>
      <c r="N39">
        <v>24</v>
      </c>
      <c r="O39" s="101">
        <v>39920</v>
      </c>
    </row>
    <row r="40" spans="1:15" ht="15.6">
      <c r="A40" s="104" t="s">
        <v>118</v>
      </c>
      <c r="B40" s="39">
        <v>6</v>
      </c>
      <c r="C40" s="105" t="s">
        <v>291</v>
      </c>
      <c r="D40" s="39">
        <v>3</v>
      </c>
      <c r="F40">
        <f>F39+1</f>
        <v>22</v>
      </c>
      <c r="J40">
        <v>8</v>
      </c>
      <c r="K40" t="s">
        <v>289</v>
      </c>
      <c r="L40">
        <v>2012</v>
      </c>
      <c r="M40">
        <v>18</v>
      </c>
      <c r="N40">
        <v>7</v>
      </c>
      <c r="O40" s="101">
        <v>39909</v>
      </c>
    </row>
    <row r="41" spans="1:15" ht="15.6">
      <c r="A41" s="104" t="s">
        <v>119</v>
      </c>
      <c r="B41" s="39">
        <v>7</v>
      </c>
      <c r="C41" s="105" t="s">
        <v>292</v>
      </c>
      <c r="D41" s="39">
        <v>4</v>
      </c>
      <c r="J41">
        <v>9</v>
      </c>
      <c r="K41" t="s">
        <v>289</v>
      </c>
      <c r="L41">
        <v>2013</v>
      </c>
      <c r="M41">
        <v>19</v>
      </c>
      <c r="N41">
        <v>18</v>
      </c>
      <c r="O41" s="101">
        <v>39930</v>
      </c>
    </row>
    <row r="42" spans="1:15" ht="15.6">
      <c r="A42" s="104" t="s">
        <v>120</v>
      </c>
      <c r="B42" s="39">
        <v>8</v>
      </c>
      <c r="C42" s="105" t="s">
        <v>293</v>
      </c>
      <c r="D42" s="39">
        <v>5</v>
      </c>
      <c r="J42">
        <v>10</v>
      </c>
      <c r="K42" t="s">
        <v>289</v>
      </c>
    </row>
    <row r="43" spans="1:15" ht="15.6">
      <c r="A43" s="104" t="s">
        <v>121</v>
      </c>
      <c r="B43" s="39">
        <v>9</v>
      </c>
      <c r="C43" s="105" t="s">
        <v>294</v>
      </c>
      <c r="D43" s="39">
        <v>7</v>
      </c>
      <c r="G43">
        <f>VLOOKUP(MONTH(F63),B35:D46,3)</f>
        <v>0</v>
      </c>
      <c r="J43">
        <v>11</v>
      </c>
      <c r="K43" t="s">
        <v>289</v>
      </c>
    </row>
    <row r="44" spans="1:15" ht="15.6">
      <c r="A44" s="104" t="s">
        <v>122</v>
      </c>
      <c r="B44" s="39">
        <v>10</v>
      </c>
      <c r="C44" s="105" t="s">
        <v>295</v>
      </c>
      <c r="D44" s="39">
        <v>7</v>
      </c>
      <c r="J44">
        <v>12</v>
      </c>
      <c r="K44" t="s">
        <v>289</v>
      </c>
      <c r="M44" t="s">
        <v>296</v>
      </c>
    </row>
    <row r="45" spans="1:15" ht="15.6">
      <c r="A45" s="104" t="s">
        <v>123</v>
      </c>
      <c r="B45" s="39">
        <v>11</v>
      </c>
      <c r="C45" s="105" t="s">
        <v>297</v>
      </c>
      <c r="D45" s="39">
        <v>9</v>
      </c>
      <c r="H45">
        <v>0</v>
      </c>
      <c r="I45" t="s">
        <v>105</v>
      </c>
      <c r="J45">
        <v>13</v>
      </c>
      <c r="K45" t="s">
        <v>289</v>
      </c>
    </row>
    <row r="46" spans="1:15" ht="15.6">
      <c r="A46" s="104" t="s">
        <v>124</v>
      </c>
      <c r="B46" s="39">
        <v>12</v>
      </c>
      <c r="C46" s="105" t="s">
        <v>298</v>
      </c>
      <c r="D46" s="39">
        <v>9</v>
      </c>
      <c r="H46">
        <v>1</v>
      </c>
      <c r="I46" t="s">
        <v>99</v>
      </c>
      <c r="J46">
        <v>14</v>
      </c>
      <c r="K46" s="103" t="s">
        <v>299</v>
      </c>
    </row>
    <row r="47" spans="1:15" ht="79.2">
      <c r="A47" s="98"/>
      <c r="H47">
        <v>2</v>
      </c>
      <c r="I47" t="s">
        <v>100</v>
      </c>
      <c r="J47">
        <v>15</v>
      </c>
      <c r="K47" t="s">
        <v>299</v>
      </c>
      <c r="L47" s="404" t="s">
        <v>966</v>
      </c>
    </row>
    <row r="48" spans="1:15" ht="15">
      <c r="A48" s="98" t="s">
        <v>300</v>
      </c>
      <c r="H48">
        <v>3</v>
      </c>
      <c r="I48" t="s">
        <v>101</v>
      </c>
      <c r="J48">
        <v>16</v>
      </c>
      <c r="K48" t="s">
        <v>299</v>
      </c>
      <c r="L48" t="str">
        <f>IF($R$93="MARZO","LUNA LLENA PASCUAL","")</f>
        <v>LUNA LLENA PASCUAL</v>
      </c>
      <c r="O48">
        <f>IF($R$93="MARZO",O65,"")</f>
        <v>25</v>
      </c>
    </row>
    <row r="49" spans="1:19" ht="15">
      <c r="A49" s="98"/>
      <c r="H49">
        <v>4</v>
      </c>
      <c r="I49" t="s">
        <v>102</v>
      </c>
      <c r="J49">
        <v>17</v>
      </c>
      <c r="K49" t="s">
        <v>299</v>
      </c>
      <c r="L49" t="str">
        <f>IF($R$93="ABRIL","LUNA LLENA PASCUAL","")</f>
        <v/>
      </c>
      <c r="O49" t="str">
        <f>IF($R$93="ABRIL",N66,"")</f>
        <v/>
      </c>
    </row>
    <row r="50" spans="1:19" ht="15">
      <c r="A50" s="98" t="s">
        <v>301</v>
      </c>
      <c r="H50">
        <v>5</v>
      </c>
      <c r="I50" t="s">
        <v>103</v>
      </c>
      <c r="J50">
        <v>18</v>
      </c>
      <c r="K50" t="s">
        <v>299</v>
      </c>
    </row>
    <row r="51" spans="1:19" ht="15">
      <c r="A51" s="98"/>
      <c r="H51">
        <v>6</v>
      </c>
      <c r="I51" t="s">
        <v>104</v>
      </c>
      <c r="J51">
        <v>19</v>
      </c>
      <c r="K51" t="s">
        <v>299</v>
      </c>
    </row>
    <row r="52" spans="1:19" ht="15">
      <c r="A52" s="98" t="s">
        <v>302</v>
      </c>
      <c r="H52">
        <v>7</v>
      </c>
      <c r="I52" t="s">
        <v>105</v>
      </c>
      <c r="J52">
        <v>20</v>
      </c>
      <c r="K52" t="s">
        <v>299</v>
      </c>
    </row>
    <row r="53" spans="1:19" ht="15">
      <c r="A53" s="98"/>
      <c r="J53">
        <v>21</v>
      </c>
      <c r="K53" s="103" t="s">
        <v>303</v>
      </c>
    </row>
    <row r="54" spans="1:19" ht="15">
      <c r="A54" s="98" t="s">
        <v>304</v>
      </c>
      <c r="J54">
        <v>22</v>
      </c>
      <c r="K54" t="s">
        <v>303</v>
      </c>
    </row>
    <row r="55" spans="1:19" ht="15">
      <c r="A55" s="98" t="s">
        <v>305</v>
      </c>
      <c r="J55">
        <v>23</v>
      </c>
      <c r="K55" t="s">
        <v>303</v>
      </c>
    </row>
    <row r="56" spans="1:19" ht="15">
      <c r="A56" s="98" t="s">
        <v>306</v>
      </c>
      <c r="J56">
        <v>24</v>
      </c>
      <c r="K56" t="s">
        <v>303</v>
      </c>
    </row>
    <row r="57" spans="1:19" ht="15">
      <c r="A57" s="98"/>
      <c r="J57">
        <v>25</v>
      </c>
      <c r="K57" t="s">
        <v>303</v>
      </c>
    </row>
    <row r="58" spans="1:19" ht="15.6">
      <c r="A58" s="98" t="s">
        <v>307</v>
      </c>
      <c r="J58">
        <v>26</v>
      </c>
      <c r="K58" t="s">
        <v>303</v>
      </c>
    </row>
    <row r="59" spans="1:19" ht="15.6" thickBot="1">
      <c r="A59" s="98"/>
      <c r="J59">
        <v>27</v>
      </c>
      <c r="K59" t="s">
        <v>303</v>
      </c>
    </row>
    <row r="60" spans="1:19" ht="14.4" thickTop="1" thickBot="1">
      <c r="A60" s="223">
        <f>MOD($E$36,19)+1</f>
        <v>11</v>
      </c>
      <c r="B60" s="223" t="str">
        <f>VLOOKUP($A$60,$P$102:$Q$120,2,)</f>
        <v xml:space="preserve">XI </v>
      </c>
      <c r="J60">
        <v>28</v>
      </c>
      <c r="K60" t="s">
        <v>281</v>
      </c>
    </row>
    <row r="61" spans="1:19" ht="15.6" thickTop="1">
      <c r="A61" s="98" t="s">
        <v>308</v>
      </c>
      <c r="J61">
        <v>29</v>
      </c>
      <c r="K61" s="103" t="s">
        <v>281</v>
      </c>
      <c r="N61" t="s">
        <v>344</v>
      </c>
      <c r="P61" t="s">
        <v>373</v>
      </c>
      <c r="Q61" t="s">
        <v>371</v>
      </c>
      <c r="R61" t="s">
        <v>372</v>
      </c>
    </row>
    <row r="62" spans="1:19" ht="15.6">
      <c r="A62" s="222">
        <f>PORTADA!$AG$28</f>
        <v>2024</v>
      </c>
    </row>
    <row r="63" spans="1:19" ht="15.6">
      <c r="A63" s="220" t="s">
        <v>309</v>
      </c>
      <c r="B63" s="105" t="s">
        <v>284</v>
      </c>
      <c r="C63" s="39" t="s">
        <v>310</v>
      </c>
      <c r="D63" s="105" t="s">
        <v>284</v>
      </c>
      <c r="E63" s="39" t="s">
        <v>310</v>
      </c>
      <c r="F63" s="149" t="str">
        <f t="shared" ref="F63:F121" si="0">CONCATENATE(B63,C63,D63,E63,$E$37)</f>
        <v>01/01/2024</v>
      </c>
      <c r="G63" s="92">
        <f>MOD($A$69+B63+VLOOKUP(MONTH(F63),$B$35:$D$46,3),30)</f>
        <v>20</v>
      </c>
      <c r="H63" t="str">
        <f t="shared" ref="H63:H126" si="1">VLOOKUP(G63,$J$32:$K$61,2)</f>
        <v>Luna Llena</v>
      </c>
      <c r="J63">
        <f>calendario!$AC$7</f>
        <v>1</v>
      </c>
      <c r="K63" t="str">
        <f>VLOOKUP(J63,$H$45:$I$52,2)</f>
        <v>Lunes</v>
      </c>
      <c r="L63" s="39">
        <f>VALUE(LEFT(F63,2))</f>
        <v>1</v>
      </c>
      <c r="M63" s="39" t="s">
        <v>113</v>
      </c>
      <c r="N63" s="39">
        <f>VLOOKUP(14,$G$63:$L$93,6,0)+1</f>
        <v>26</v>
      </c>
      <c r="O63" s="39">
        <f>N63</f>
        <v>26</v>
      </c>
      <c r="P63" s="39">
        <f>VLOOKUP(7,$G$63:$L$93,6,0)</f>
        <v>18</v>
      </c>
      <c r="Q63" s="39">
        <f>VLOOKUP(0,$G$63:$L$93,6,0)</f>
        <v>11</v>
      </c>
      <c r="R63" s="39">
        <f>VLOOKUP(21,$G$63:$L$93,6,0)</f>
        <v>2</v>
      </c>
    </row>
    <row r="64" spans="1:19">
      <c r="A64" s="221">
        <f>MOD($E$36,19)+1</f>
        <v>11</v>
      </c>
      <c r="B64" s="105" t="s">
        <v>286</v>
      </c>
      <c r="C64" s="39" t="s">
        <v>310</v>
      </c>
      <c r="D64" s="105" t="s">
        <v>284</v>
      </c>
      <c r="E64" s="39" t="s">
        <v>310</v>
      </c>
      <c r="F64" s="107" t="str">
        <f t="shared" si="0"/>
        <v>02/01/2024</v>
      </c>
      <c r="G64" s="92">
        <f t="shared" ref="G64:G127" si="2">MOD($A$69+B64+VLOOKUP(MONTH(F64),$B$35:$D$46,3),30)</f>
        <v>21</v>
      </c>
      <c r="H64" t="str">
        <f t="shared" si="1"/>
        <v>Cuarto Menguante</v>
      </c>
      <c r="J64">
        <f>IF(J63&lt;6,J63+1,0)</f>
        <v>2</v>
      </c>
      <c r="K64" t="str">
        <f t="shared" ref="K64:K127" si="3">VLOOKUP(J64,$H$45:$I$52,2)</f>
        <v>Martes</v>
      </c>
      <c r="L64" s="39">
        <f t="shared" ref="L64:L127" si="4">VALUE(LEFT(F64,2))</f>
        <v>2</v>
      </c>
      <c r="M64" s="39" t="s">
        <v>114</v>
      </c>
      <c r="N64" s="39">
        <f>VLOOKUP(14,$G$94:$L$123,6,0)</f>
        <v>24</v>
      </c>
      <c r="O64" s="39">
        <f t="shared" ref="O64:O74" si="5">N64</f>
        <v>24</v>
      </c>
      <c r="P64" s="39">
        <f>VLOOKUP(7,$G$94:$L$123,6,0)</f>
        <v>17</v>
      </c>
      <c r="Q64" s="39">
        <f>VLOOKUP(0,$G$94:$L$123,6,0)</f>
        <v>10</v>
      </c>
      <c r="R64" s="39">
        <f>VLOOKUP(21,$G$94:$L$123,6,0)</f>
        <v>1</v>
      </c>
      <c r="S64" s="6"/>
    </row>
    <row r="65" spans="1:19">
      <c r="A65" s="150">
        <f>INT($E$36/100)+1</f>
        <v>21</v>
      </c>
      <c r="B65" s="105" t="s">
        <v>287</v>
      </c>
      <c r="C65" s="39" t="s">
        <v>310</v>
      </c>
      <c r="D65" s="105" t="s">
        <v>284</v>
      </c>
      <c r="E65" s="39" t="s">
        <v>310</v>
      </c>
      <c r="F65" s="107" t="str">
        <f t="shared" si="0"/>
        <v>03/01/2024</v>
      </c>
      <c r="G65" s="92">
        <f t="shared" si="2"/>
        <v>22</v>
      </c>
      <c r="H65" t="str">
        <f t="shared" si="1"/>
        <v>Cuarto Menguante</v>
      </c>
      <c r="J65">
        <f t="shared" ref="J65:J93" si="6">IF(J64&lt;6,J64+1,0)</f>
        <v>3</v>
      </c>
      <c r="K65" t="str">
        <f t="shared" si="3"/>
        <v>Miércoles</v>
      </c>
      <c r="L65" s="39">
        <f t="shared" si="4"/>
        <v>3</v>
      </c>
      <c r="M65" s="39" t="s">
        <v>115</v>
      </c>
      <c r="N65" s="39">
        <f>VLOOKUP(14,$G$123:$L$153,6,0)+1</f>
        <v>26</v>
      </c>
      <c r="O65" s="39">
        <f>IF(AND(R93="MARZO",P80&lt;&gt;0),Q93,N65)</f>
        <v>25</v>
      </c>
      <c r="P65" s="39">
        <f>VLOOKUP(7,$G$123:$L$153,6,0)</f>
        <v>18</v>
      </c>
      <c r="Q65" s="39">
        <f>VLOOKUP(0,$G$123:$L$153,6,0)</f>
        <v>11</v>
      </c>
      <c r="R65" s="39">
        <f>VLOOKUP(21,$G$123:$L$153,6,0)</f>
        <v>2</v>
      </c>
      <c r="S65" s="6"/>
    </row>
    <row r="66" spans="1:19">
      <c r="A66" s="39">
        <f>INT((3*$A$65)/4)-12</f>
        <v>3</v>
      </c>
      <c r="B66" s="105" t="s">
        <v>288</v>
      </c>
      <c r="C66" s="39" t="s">
        <v>310</v>
      </c>
      <c r="D66" s="105" t="s">
        <v>284</v>
      </c>
      <c r="E66" s="39" t="s">
        <v>310</v>
      </c>
      <c r="F66" s="107" t="str">
        <f t="shared" si="0"/>
        <v>04/01/2024</v>
      </c>
      <c r="G66" s="92">
        <f t="shared" si="2"/>
        <v>23</v>
      </c>
      <c r="H66" t="str">
        <f t="shared" si="1"/>
        <v>Cuarto Menguante</v>
      </c>
      <c r="J66">
        <f t="shared" si="6"/>
        <v>4</v>
      </c>
      <c r="K66" t="str">
        <f t="shared" si="3"/>
        <v>Jueves</v>
      </c>
      <c r="L66" s="39">
        <f t="shared" si="4"/>
        <v>4</v>
      </c>
      <c r="M66" s="39" t="s">
        <v>116</v>
      </c>
      <c r="N66" s="39">
        <f>VLOOKUP(14,$G$154:$L$183,6,0)</f>
        <v>24</v>
      </c>
      <c r="O66" s="39">
        <f>IF(R93="ABRIL",Q93,N66)</f>
        <v>24</v>
      </c>
      <c r="P66" s="39">
        <f>VLOOKUP(7,$G$154:$L$183,6,0)</f>
        <v>17</v>
      </c>
      <c r="Q66" s="39">
        <f>VLOOKUP(0,$G$154:$L$183,6,0)</f>
        <v>10</v>
      </c>
      <c r="R66" s="39">
        <f>VLOOKUP(21,$G$154:$L$183,6,0)</f>
        <v>1</v>
      </c>
      <c r="S66" s="6"/>
    </row>
    <row r="67" spans="1:19">
      <c r="A67" s="39">
        <f>INT((8*$A$65+5)/25)-5</f>
        <v>1</v>
      </c>
      <c r="B67" s="105" t="s">
        <v>290</v>
      </c>
      <c r="C67" s="39" t="s">
        <v>310</v>
      </c>
      <c r="D67" s="105" t="s">
        <v>284</v>
      </c>
      <c r="E67" s="39" t="s">
        <v>310</v>
      </c>
      <c r="F67" s="107" t="str">
        <f t="shared" si="0"/>
        <v>05/01/2024</v>
      </c>
      <c r="G67" s="92">
        <f t="shared" si="2"/>
        <v>24</v>
      </c>
      <c r="H67" t="str">
        <f t="shared" si="1"/>
        <v>Cuarto Menguante</v>
      </c>
      <c r="J67">
        <f t="shared" si="6"/>
        <v>5</v>
      </c>
      <c r="K67" t="str">
        <f t="shared" si="3"/>
        <v>Viernes</v>
      </c>
      <c r="L67" s="39">
        <f t="shared" si="4"/>
        <v>5</v>
      </c>
      <c r="M67" s="39" t="s">
        <v>117</v>
      </c>
      <c r="N67" s="39">
        <f>VLOOKUP(14,$G$184:$L$214,6,0)+1</f>
        <v>24</v>
      </c>
      <c r="O67" s="39">
        <f t="shared" si="5"/>
        <v>24</v>
      </c>
      <c r="P67" s="39">
        <f>VLOOKUP(7,$G$184:$L$214,6,0)</f>
        <v>16</v>
      </c>
      <c r="Q67" s="39">
        <f>VLOOKUP(0,$G$184:$L$214,6,0)</f>
        <v>9</v>
      </c>
      <c r="R67" s="39">
        <f>VLOOKUP(21,$G$184:$L$214,6,0)</f>
        <v>30</v>
      </c>
      <c r="S67" s="6"/>
    </row>
    <row r="68" spans="1:19" ht="13.8" thickBot="1">
      <c r="A68" s="39">
        <f>INT(($E$36*5)/4)-10-$A$66</f>
        <v>2517</v>
      </c>
      <c r="B68" s="105" t="s">
        <v>291</v>
      </c>
      <c r="C68" s="39" t="s">
        <v>310</v>
      </c>
      <c r="D68" s="105" t="s">
        <v>284</v>
      </c>
      <c r="E68" s="39" t="s">
        <v>310</v>
      </c>
      <c r="F68" s="107" t="str">
        <f t="shared" si="0"/>
        <v>06/01/2024</v>
      </c>
      <c r="G68" s="92">
        <f t="shared" si="2"/>
        <v>25</v>
      </c>
      <c r="H68" t="str">
        <f t="shared" si="1"/>
        <v>Cuarto Menguante</v>
      </c>
      <c r="J68">
        <f t="shared" si="6"/>
        <v>6</v>
      </c>
      <c r="K68" t="str">
        <f t="shared" si="3"/>
        <v>Sábado</v>
      </c>
      <c r="L68" s="39">
        <f t="shared" si="4"/>
        <v>6</v>
      </c>
      <c r="M68" s="39" t="s">
        <v>118</v>
      </c>
      <c r="N68" s="39">
        <f>VLOOKUP(14,$G$215:$L$244,6,0)</f>
        <v>22</v>
      </c>
      <c r="O68" s="39">
        <f t="shared" si="5"/>
        <v>22</v>
      </c>
      <c r="P68" s="39">
        <f>VLOOKUP(7,$G$215:$L$244,6,0)</f>
        <v>15</v>
      </c>
      <c r="Q68" s="39">
        <f>VLOOKUP(0,$G$215:$L$244,6,0)</f>
        <v>8</v>
      </c>
      <c r="R68" s="39">
        <f>VLOOKUP(21,$G$215:$L$244,6,0)</f>
        <v>29</v>
      </c>
    </row>
    <row r="69" spans="1:19" ht="13.8" thickTop="1">
      <c r="A69" s="225">
        <f>IF(A62&gt;1581,MOD((MOD((11*$A$64+20+$A$67-$A$66),30)+30),30),A83)</f>
        <v>19</v>
      </c>
      <c r="B69" s="105" t="s">
        <v>292</v>
      </c>
      <c r="C69" s="39" t="s">
        <v>310</v>
      </c>
      <c r="D69" s="105" t="s">
        <v>284</v>
      </c>
      <c r="E69" s="39" t="s">
        <v>310</v>
      </c>
      <c r="F69" s="107" t="str">
        <f t="shared" si="0"/>
        <v>07/01/2024</v>
      </c>
      <c r="G69" s="92">
        <f t="shared" si="2"/>
        <v>26</v>
      </c>
      <c r="H69" t="str">
        <f t="shared" si="1"/>
        <v>Cuarto Menguante</v>
      </c>
      <c r="J69">
        <f t="shared" si="6"/>
        <v>0</v>
      </c>
      <c r="K69" t="str">
        <f t="shared" si="3"/>
        <v>Domingo</v>
      </c>
      <c r="L69" s="39">
        <f t="shared" si="4"/>
        <v>7</v>
      </c>
      <c r="M69" s="39" t="s">
        <v>119</v>
      </c>
      <c r="N69" s="39">
        <f>VLOOKUP(14,$G$245:$L$275,6,0)+1</f>
        <v>22</v>
      </c>
      <c r="O69" s="39">
        <f t="shared" si="5"/>
        <v>22</v>
      </c>
      <c r="P69" s="39">
        <f>VLOOKUP(7,$G$245:$L$275,6,0)</f>
        <v>14</v>
      </c>
      <c r="Q69" s="39">
        <f>VLOOKUP(0,$G$245:$L$275,6,0)</f>
        <v>7</v>
      </c>
      <c r="R69" s="39">
        <f>VLOOKUP(21,$G$245:$L$275,6,0)</f>
        <v>28</v>
      </c>
    </row>
    <row r="70" spans="1:19">
      <c r="A70" s="226" t="s">
        <v>792</v>
      </c>
      <c r="B70" s="105" t="s">
        <v>293</v>
      </c>
      <c r="C70" s="39" t="s">
        <v>310</v>
      </c>
      <c r="D70" s="105" t="s">
        <v>284</v>
      </c>
      <c r="E70" s="39" t="s">
        <v>310</v>
      </c>
      <c r="F70" s="107" t="str">
        <f t="shared" si="0"/>
        <v>08/01/2024</v>
      </c>
      <c r="G70" s="92">
        <f t="shared" si="2"/>
        <v>27</v>
      </c>
      <c r="H70" t="str">
        <f t="shared" si="1"/>
        <v>Cuarto Menguante</v>
      </c>
      <c r="J70">
        <f t="shared" si="6"/>
        <v>1</v>
      </c>
      <c r="K70" t="str">
        <f t="shared" si="3"/>
        <v>Lunes</v>
      </c>
      <c r="L70" s="39">
        <f t="shared" si="4"/>
        <v>8</v>
      </c>
      <c r="M70" s="39" t="s">
        <v>120</v>
      </c>
      <c r="N70" s="39">
        <f>VLOOKUP(14,$G$276:$L$306,6,0)</f>
        <v>20</v>
      </c>
      <c r="O70" s="39">
        <f t="shared" si="5"/>
        <v>20</v>
      </c>
      <c r="P70" s="39">
        <f>VLOOKUP(7,$G$276:$L$306,6,0)</f>
        <v>13</v>
      </c>
      <c r="Q70" s="39">
        <f>VLOOKUP(0,$G$276:$L$306,6,0)</f>
        <v>6</v>
      </c>
      <c r="R70" s="39">
        <f>VLOOKUP(21,$G$276:$L$306,6,0)</f>
        <v>27</v>
      </c>
    </row>
    <row r="71" spans="1:19" ht="13.8" thickBot="1">
      <c r="A71" s="227" t="s">
        <v>793</v>
      </c>
      <c r="B71" s="105" t="s">
        <v>294</v>
      </c>
      <c r="C71" s="39" t="s">
        <v>310</v>
      </c>
      <c r="D71" s="105" t="s">
        <v>284</v>
      </c>
      <c r="E71" s="39" t="s">
        <v>310</v>
      </c>
      <c r="F71" s="107" t="str">
        <f t="shared" si="0"/>
        <v>09/01/2024</v>
      </c>
      <c r="G71" s="92">
        <f t="shared" si="2"/>
        <v>28</v>
      </c>
      <c r="H71" t="str">
        <f t="shared" si="1"/>
        <v>Luna Nueva</v>
      </c>
      <c r="J71">
        <f t="shared" si="6"/>
        <v>2</v>
      </c>
      <c r="K71" t="str">
        <f t="shared" si="3"/>
        <v>Martes</v>
      </c>
      <c r="L71" s="39">
        <f t="shared" si="4"/>
        <v>9</v>
      </c>
      <c r="M71" s="39" t="s">
        <v>121</v>
      </c>
      <c r="N71" s="39">
        <f>VLOOKUP(14,$G$307:$L$336,6,0)+1</f>
        <v>19</v>
      </c>
      <c r="O71" s="39">
        <f t="shared" si="5"/>
        <v>19</v>
      </c>
      <c r="P71" s="39">
        <f>VLOOKUP(7,$G$307:$L$336,6,0)</f>
        <v>11</v>
      </c>
      <c r="Q71" s="39">
        <f>VLOOKUP(0,$G$307:$L$336,6,0)</f>
        <v>4</v>
      </c>
      <c r="R71" s="39">
        <f>VLOOKUP(21,$G$307:$L$336,6,0)</f>
        <v>25</v>
      </c>
    </row>
    <row r="72" spans="1:19" ht="13.8" thickTop="1">
      <c r="B72" s="105" t="s">
        <v>295</v>
      </c>
      <c r="C72" s="39" t="s">
        <v>310</v>
      </c>
      <c r="D72" s="105" t="s">
        <v>284</v>
      </c>
      <c r="E72" s="39" t="s">
        <v>310</v>
      </c>
      <c r="F72" s="107" t="str">
        <f t="shared" si="0"/>
        <v>10/01/2024</v>
      </c>
      <c r="G72" s="92">
        <f t="shared" si="2"/>
        <v>29</v>
      </c>
      <c r="H72" t="str">
        <f t="shared" si="1"/>
        <v>Luna Nueva</v>
      </c>
      <c r="J72">
        <f t="shared" si="6"/>
        <v>3</v>
      </c>
      <c r="K72" t="str">
        <f t="shared" si="3"/>
        <v>Miércoles</v>
      </c>
      <c r="L72" s="39">
        <f t="shared" si="4"/>
        <v>10</v>
      </c>
      <c r="M72" s="39" t="s">
        <v>122</v>
      </c>
      <c r="N72" s="39">
        <f>VLOOKUP(14,$G$337:$L$367,6,0)</f>
        <v>18</v>
      </c>
      <c r="O72" s="39">
        <f t="shared" si="5"/>
        <v>18</v>
      </c>
      <c r="P72" s="39">
        <f>VLOOKUP(7,$G$337:$L$367,6,0)</f>
        <v>11</v>
      </c>
      <c r="Q72" s="39">
        <f>VLOOKUP(0,$G$337:$L$367,6,0)</f>
        <v>4</v>
      </c>
      <c r="R72" s="39">
        <f>VLOOKUP(21,$G$337:$L$367,6,0)</f>
        <v>25</v>
      </c>
    </row>
    <row r="73" spans="1:19">
      <c r="A73" s="228" t="s">
        <v>794</v>
      </c>
      <c r="B73" s="105" t="s">
        <v>297</v>
      </c>
      <c r="C73" s="39" t="s">
        <v>310</v>
      </c>
      <c r="D73" s="105" t="s">
        <v>284</v>
      </c>
      <c r="E73" s="39" t="s">
        <v>310</v>
      </c>
      <c r="F73" s="107" t="str">
        <f t="shared" si="0"/>
        <v>11/01/2024</v>
      </c>
      <c r="G73" s="92">
        <f t="shared" si="2"/>
        <v>0</v>
      </c>
      <c r="H73" t="str">
        <f t="shared" si="1"/>
        <v>Luna Nueva</v>
      </c>
      <c r="J73">
        <f t="shared" si="6"/>
        <v>4</v>
      </c>
      <c r="K73" t="str">
        <f t="shared" si="3"/>
        <v>Jueves</v>
      </c>
      <c r="L73" s="39">
        <f t="shared" si="4"/>
        <v>11</v>
      </c>
      <c r="M73" s="39" t="s">
        <v>123</v>
      </c>
      <c r="N73" s="39">
        <f>VLOOKUP(14,$G$368:$L$397,6,0)+1</f>
        <v>17</v>
      </c>
      <c r="O73" s="39">
        <f t="shared" si="5"/>
        <v>17</v>
      </c>
      <c r="P73" s="39">
        <f>VLOOKUP(7,$G$368:$L$397,6,0)</f>
        <v>9</v>
      </c>
      <c r="Q73" s="39">
        <f>VLOOKUP(0,$G$368:$L$397,6,0)</f>
        <v>2</v>
      </c>
      <c r="R73" s="39">
        <f>VLOOKUP(21,$G$368:$L$397,6,0)</f>
        <v>23</v>
      </c>
    </row>
    <row r="74" spans="1:19">
      <c r="A74" s="212" t="str">
        <f>calendario!$AW$1</f>
        <v>GF</v>
      </c>
      <c r="B74" s="105" t="s">
        <v>298</v>
      </c>
      <c r="C74" s="39" t="s">
        <v>310</v>
      </c>
      <c r="D74" s="105" t="s">
        <v>284</v>
      </c>
      <c r="E74" s="39" t="s">
        <v>310</v>
      </c>
      <c r="F74" s="107" t="str">
        <f t="shared" si="0"/>
        <v>12/01/2024</v>
      </c>
      <c r="G74" s="92">
        <f t="shared" si="2"/>
        <v>1</v>
      </c>
      <c r="H74" t="str">
        <f t="shared" si="1"/>
        <v>Luna Nueva</v>
      </c>
      <c r="J74">
        <f t="shared" si="6"/>
        <v>5</v>
      </c>
      <c r="K74" t="str">
        <f t="shared" si="3"/>
        <v>Viernes</v>
      </c>
      <c r="L74" s="39">
        <f t="shared" si="4"/>
        <v>12</v>
      </c>
      <c r="M74" s="39" t="s">
        <v>124</v>
      </c>
      <c r="N74" s="39">
        <f>VLOOKUP(14,$G$398:$L$428,6,0)</f>
        <v>16</v>
      </c>
      <c r="O74" s="39">
        <f t="shared" si="5"/>
        <v>16</v>
      </c>
      <c r="P74" s="39">
        <f>VLOOKUP(7,$G$398:$L$428,6,0)</f>
        <v>9</v>
      </c>
      <c r="Q74" s="39">
        <f>VLOOKUP(0,$G$398:$L$428,6,0)</f>
        <v>2</v>
      </c>
      <c r="R74" s="39">
        <f>VLOOKUP(21,$G$398:$L$428,6,0)</f>
        <v>23</v>
      </c>
    </row>
    <row r="75" spans="1:19">
      <c r="B75" s="105" t="s">
        <v>311</v>
      </c>
      <c r="C75" s="39" t="s">
        <v>310</v>
      </c>
      <c r="D75" s="105" t="s">
        <v>284</v>
      </c>
      <c r="E75" s="39" t="s">
        <v>310</v>
      </c>
      <c r="F75" s="107" t="str">
        <f t="shared" si="0"/>
        <v>13/01/2024</v>
      </c>
      <c r="G75" s="92">
        <f t="shared" si="2"/>
        <v>2</v>
      </c>
      <c r="H75" t="str">
        <f t="shared" si="1"/>
        <v>Luna Nueva</v>
      </c>
      <c r="J75">
        <f t="shared" si="6"/>
        <v>6</v>
      </c>
      <c r="K75" t="str">
        <f t="shared" si="3"/>
        <v>Sábado</v>
      </c>
      <c r="L75" s="39">
        <f t="shared" si="4"/>
        <v>13</v>
      </c>
    </row>
    <row r="76" spans="1:19">
      <c r="A76" s="212" t="s">
        <v>810</v>
      </c>
      <c r="B76" s="105" t="s">
        <v>312</v>
      </c>
      <c r="C76" s="39" t="s">
        <v>310</v>
      </c>
      <c r="D76" s="105" t="s">
        <v>284</v>
      </c>
      <c r="E76" s="39" t="s">
        <v>310</v>
      </c>
      <c r="F76" s="107" t="str">
        <f t="shared" si="0"/>
        <v>14/01/2024</v>
      </c>
      <c r="G76" s="92">
        <f t="shared" si="2"/>
        <v>3</v>
      </c>
      <c r="H76" t="str">
        <f t="shared" si="1"/>
        <v>Luna Nueva</v>
      </c>
      <c r="J76">
        <f t="shared" si="6"/>
        <v>0</v>
      </c>
      <c r="K76" t="str">
        <f t="shared" si="3"/>
        <v>Domingo</v>
      </c>
      <c r="L76" s="39">
        <f t="shared" si="4"/>
        <v>14</v>
      </c>
    </row>
    <row r="77" spans="1:19">
      <c r="A77" s="212">
        <f>calendario!$AY$12</f>
        <v>1</v>
      </c>
      <c r="B77" s="105" t="s">
        <v>313</v>
      </c>
      <c r="C77" s="39" t="s">
        <v>310</v>
      </c>
      <c r="D77" s="105" t="s">
        <v>284</v>
      </c>
      <c r="E77" s="39" t="s">
        <v>310</v>
      </c>
      <c r="F77" s="107" t="str">
        <f t="shared" si="0"/>
        <v>15/01/2024</v>
      </c>
      <c r="G77" s="92">
        <f t="shared" si="2"/>
        <v>4</v>
      </c>
      <c r="H77" t="str">
        <f t="shared" si="1"/>
        <v>Luna Nueva</v>
      </c>
      <c r="J77">
        <f t="shared" si="6"/>
        <v>1</v>
      </c>
      <c r="K77" t="str">
        <f t="shared" si="3"/>
        <v>Lunes</v>
      </c>
      <c r="L77" s="39">
        <f t="shared" si="4"/>
        <v>15</v>
      </c>
    </row>
    <row r="78" spans="1:19">
      <c r="B78" s="105" t="s">
        <v>314</v>
      </c>
      <c r="C78" s="39" t="s">
        <v>310</v>
      </c>
      <c r="D78" s="105" t="s">
        <v>284</v>
      </c>
      <c r="E78" s="39" t="s">
        <v>310</v>
      </c>
      <c r="F78" s="107" t="str">
        <f t="shared" si="0"/>
        <v>16/01/2024</v>
      </c>
      <c r="G78" s="92">
        <f t="shared" si="2"/>
        <v>5</v>
      </c>
      <c r="H78" t="str">
        <f t="shared" si="1"/>
        <v>Luna Nueva</v>
      </c>
      <c r="J78">
        <f t="shared" si="6"/>
        <v>2</v>
      </c>
      <c r="K78" t="str">
        <f t="shared" si="3"/>
        <v>Martes</v>
      </c>
      <c r="L78" s="39">
        <f t="shared" si="4"/>
        <v>16</v>
      </c>
      <c r="M78" t="s">
        <v>367</v>
      </c>
    </row>
    <row r="79" spans="1:19">
      <c r="B79" s="105" t="s">
        <v>315</v>
      </c>
      <c r="C79" s="39" t="s">
        <v>310</v>
      </c>
      <c r="D79" s="105" t="s">
        <v>284</v>
      </c>
      <c r="E79" s="39" t="s">
        <v>310</v>
      </c>
      <c r="F79" s="107" t="str">
        <f t="shared" si="0"/>
        <v>17/01/2024</v>
      </c>
      <c r="G79" s="92">
        <f t="shared" si="2"/>
        <v>6</v>
      </c>
      <c r="H79" t="str">
        <f t="shared" si="1"/>
        <v>Cuarto Creciente</v>
      </c>
      <c r="J79">
        <f t="shared" si="6"/>
        <v>3</v>
      </c>
      <c r="K79" t="str">
        <f t="shared" si="3"/>
        <v>Miércoles</v>
      </c>
      <c r="L79" s="39">
        <f t="shared" si="4"/>
        <v>17</v>
      </c>
    </row>
    <row r="80" spans="1:19">
      <c r="A80" s="212" t="s">
        <v>813</v>
      </c>
      <c r="B80" s="105" t="s">
        <v>316</v>
      </c>
      <c r="C80" s="39" t="s">
        <v>310</v>
      </c>
      <c r="D80" s="105" t="s">
        <v>284</v>
      </c>
      <c r="E80" s="39" t="s">
        <v>310</v>
      </c>
      <c r="F80" s="107" t="str">
        <f t="shared" si="0"/>
        <v>18/01/2024</v>
      </c>
      <c r="G80" s="92">
        <f t="shared" si="2"/>
        <v>7</v>
      </c>
      <c r="H80" t="str">
        <f t="shared" si="1"/>
        <v>Cuarto Creciente</v>
      </c>
      <c r="J80">
        <f t="shared" si="6"/>
        <v>4</v>
      </c>
      <c r="K80" t="str">
        <f t="shared" si="3"/>
        <v>Jueves</v>
      </c>
      <c r="L80" s="39">
        <f t="shared" si="4"/>
        <v>18</v>
      </c>
      <c r="M80" s="92">
        <f>E36</f>
        <v>2024</v>
      </c>
      <c r="N80" s="47" t="s">
        <v>368</v>
      </c>
      <c r="P80" s="44">
        <f>IF(AND(M80&gt;325,M80&lt;1583),1,IF(M80&lt;326,0,2))</f>
        <v>2</v>
      </c>
    </row>
    <row r="81" spans="1:22">
      <c r="A81" s="233">
        <f>MOD((A62+2),30)+1</f>
        <v>17</v>
      </c>
      <c r="B81" s="105" t="s">
        <v>317</v>
      </c>
      <c r="C81" s="39" t="s">
        <v>310</v>
      </c>
      <c r="D81" s="105" t="s">
        <v>284</v>
      </c>
      <c r="E81" s="39" t="s">
        <v>310</v>
      </c>
      <c r="F81" s="107" t="str">
        <f t="shared" si="0"/>
        <v>19/01/2024</v>
      </c>
      <c r="G81" s="92">
        <f t="shared" si="2"/>
        <v>8</v>
      </c>
      <c r="H81" t="str">
        <f t="shared" si="1"/>
        <v>Cuarto Creciente</v>
      </c>
      <c r="J81">
        <f t="shared" si="6"/>
        <v>5</v>
      </c>
      <c r="K81" t="str">
        <f t="shared" si="3"/>
        <v>Viernes</v>
      </c>
      <c r="L81" s="39">
        <f t="shared" si="4"/>
        <v>19</v>
      </c>
    </row>
    <row r="82" spans="1:22">
      <c r="A82" s="103" t="s">
        <v>814</v>
      </c>
      <c r="B82" s="105" t="s">
        <v>318</v>
      </c>
      <c r="C82" s="39" t="s">
        <v>310</v>
      </c>
      <c r="D82" s="105" t="s">
        <v>284</v>
      </c>
      <c r="E82" s="39" t="s">
        <v>310</v>
      </c>
      <c r="F82" s="107" t="str">
        <f t="shared" si="0"/>
        <v>20/01/2024</v>
      </c>
      <c r="G82" s="92">
        <f t="shared" si="2"/>
        <v>9</v>
      </c>
      <c r="H82" t="str">
        <f t="shared" si="1"/>
        <v>Cuarto Creciente</v>
      </c>
      <c r="J82">
        <f t="shared" si="6"/>
        <v>6</v>
      </c>
      <c r="K82" t="str">
        <f t="shared" si="3"/>
        <v>Sábado</v>
      </c>
      <c r="L82" s="39">
        <f t="shared" si="4"/>
        <v>20</v>
      </c>
      <c r="P82" s="18" t="str">
        <f>calendario!AG29</f>
        <v>PASQUA</v>
      </c>
      <c r="Q82" s="19">
        <f>calendario!AH29</f>
        <v>0</v>
      </c>
      <c r="R82" s="19">
        <f>calendario!AI29</f>
        <v>0</v>
      </c>
      <c r="S82" s="206" t="str">
        <f>CONCATENATE(Q83,R83)</f>
        <v>31MARZO</v>
      </c>
      <c r="T82">
        <f>calendario!AK29</f>
        <v>0</v>
      </c>
      <c r="U82">
        <f>calendario!AL29</f>
        <v>0</v>
      </c>
      <c r="V82">
        <f>calendario!AM29</f>
        <v>0</v>
      </c>
    </row>
    <row r="83" spans="1:22">
      <c r="A83" s="212">
        <f>calendario!$AP$81</f>
        <v>28</v>
      </c>
      <c r="B83" s="105" t="s">
        <v>319</v>
      </c>
      <c r="C83" s="39" t="s">
        <v>310</v>
      </c>
      <c r="D83" s="105" t="s">
        <v>284</v>
      </c>
      <c r="E83" s="39" t="s">
        <v>310</v>
      </c>
      <c r="F83" s="107" t="str">
        <f t="shared" si="0"/>
        <v>21/01/2024</v>
      </c>
      <c r="G83" s="92">
        <f t="shared" si="2"/>
        <v>10</v>
      </c>
      <c r="H83" t="str">
        <f t="shared" si="1"/>
        <v>Cuarto Creciente</v>
      </c>
      <c r="J83">
        <f t="shared" si="6"/>
        <v>0</v>
      </c>
      <c r="K83" t="str">
        <f t="shared" si="3"/>
        <v>Domingo</v>
      </c>
      <c r="L83" s="39">
        <f t="shared" si="4"/>
        <v>21</v>
      </c>
      <c r="N83" s="151">
        <f>MOD(M80,19)</f>
        <v>10</v>
      </c>
      <c r="P83" s="18" t="str">
        <f>calendario!AG30</f>
        <v>MARÇ</v>
      </c>
      <c r="Q83" s="6">
        <f>calendario!AH30</f>
        <v>31</v>
      </c>
      <c r="R83" s="18" t="str">
        <f>calendario!AI30</f>
        <v>MARZO</v>
      </c>
      <c r="S83" s="207">
        <f>S82+0</f>
        <v>45016</v>
      </c>
      <c r="T83">
        <f>calendario!AK30</f>
        <v>91</v>
      </c>
      <c r="U83">
        <f>calendario!AL30</f>
        <v>0</v>
      </c>
      <c r="V83">
        <f>calendario!AM30</f>
        <v>1</v>
      </c>
    </row>
    <row r="84" spans="1:22">
      <c r="B84" s="105" t="s">
        <v>320</v>
      </c>
      <c r="C84" s="39" t="s">
        <v>310</v>
      </c>
      <c r="D84" s="105" t="s">
        <v>284</v>
      </c>
      <c r="E84" s="39" t="s">
        <v>310</v>
      </c>
      <c r="F84" s="107" t="str">
        <f t="shared" si="0"/>
        <v>22/01/2024</v>
      </c>
      <c r="G84" s="92">
        <f t="shared" si="2"/>
        <v>11</v>
      </c>
      <c r="H84" t="str">
        <f t="shared" si="1"/>
        <v>Cuarto Creciente</v>
      </c>
      <c r="J84">
        <f t="shared" si="6"/>
        <v>1</v>
      </c>
      <c r="K84" t="str">
        <f t="shared" si="3"/>
        <v>Lunes</v>
      </c>
      <c r="L84" s="39">
        <f t="shared" si="4"/>
        <v>22</v>
      </c>
      <c r="P84" s="18" t="str">
        <f>calendario!AG31</f>
        <v>ABRIL</v>
      </c>
      <c r="Q84" s="6">
        <f>calendario!AH31</f>
        <v>31</v>
      </c>
      <c r="R84" s="18" t="str">
        <f>calendario!AI31</f>
        <v>MARZO</v>
      </c>
      <c r="S84">
        <f>calendario!AJ31</f>
        <v>0</v>
      </c>
      <c r="T84">
        <f>calendario!AK31</f>
        <v>91</v>
      </c>
      <c r="U84">
        <f>calendario!AL31</f>
        <v>0</v>
      </c>
      <c r="V84">
        <f>calendario!AM31</f>
        <v>1</v>
      </c>
    </row>
    <row r="85" spans="1:22">
      <c r="A85" s="212" t="s">
        <v>860</v>
      </c>
      <c r="B85" s="105" t="s">
        <v>321</v>
      </c>
      <c r="C85" s="39" t="s">
        <v>310</v>
      </c>
      <c r="D85" s="105" t="s">
        <v>284</v>
      </c>
      <c r="E85" s="39" t="s">
        <v>310</v>
      </c>
      <c r="F85" s="107" t="str">
        <f t="shared" si="0"/>
        <v>23/01/2024</v>
      </c>
      <c r="G85" s="92">
        <f t="shared" si="2"/>
        <v>12</v>
      </c>
      <c r="H85" t="str">
        <f t="shared" si="1"/>
        <v>Cuarto Creciente</v>
      </c>
      <c r="J85">
        <f t="shared" si="6"/>
        <v>2</v>
      </c>
      <c r="K85" t="str">
        <f t="shared" si="3"/>
        <v>Martes</v>
      </c>
      <c r="L85" s="39">
        <f t="shared" si="4"/>
        <v>23</v>
      </c>
      <c r="N85" s="44">
        <f>MOD((19*N83+15),30)</f>
        <v>25</v>
      </c>
      <c r="P85" s="18">
        <f>calendario!AG32</f>
        <v>0</v>
      </c>
      <c r="Q85" s="18">
        <f>calendario!AH32</f>
        <v>0</v>
      </c>
      <c r="R85" s="11">
        <f>calendario!AI32</f>
        <v>3</v>
      </c>
      <c r="S85">
        <f>calendario!AJ32</f>
        <v>0</v>
      </c>
      <c r="T85">
        <f>calendario!AK32</f>
        <v>0</v>
      </c>
      <c r="U85">
        <f>calendario!AL32</f>
        <v>0</v>
      </c>
      <c r="V85">
        <f>calendario!AM32</f>
        <v>0</v>
      </c>
    </row>
    <row r="86" spans="1:22">
      <c r="A86" s="212">
        <f>calendario!$AP$84</f>
        <v>20</v>
      </c>
      <c r="B86" s="105" t="s">
        <v>322</v>
      </c>
      <c r="C86" s="39" t="s">
        <v>310</v>
      </c>
      <c r="D86" s="105" t="s">
        <v>284</v>
      </c>
      <c r="E86" s="39" t="s">
        <v>310</v>
      </c>
      <c r="F86" s="107" t="str">
        <f t="shared" si="0"/>
        <v>24/01/2024</v>
      </c>
      <c r="G86" s="92">
        <f t="shared" si="2"/>
        <v>13</v>
      </c>
      <c r="H86" t="str">
        <f t="shared" si="1"/>
        <v>Cuarto Creciente</v>
      </c>
      <c r="J86">
        <f t="shared" si="6"/>
        <v>3</v>
      </c>
      <c r="K86" t="str">
        <f t="shared" si="3"/>
        <v>Miércoles</v>
      </c>
      <c r="L86" s="39">
        <f t="shared" si="4"/>
        <v>24</v>
      </c>
      <c r="P86">
        <f>calendario!AG33</f>
        <v>0</v>
      </c>
      <c r="Q86">
        <f>calendario!AH33</f>
        <v>0</v>
      </c>
      <c r="R86">
        <f>calendario!AI33</f>
        <v>0</v>
      </c>
      <c r="S86">
        <f>calendario!AJ33</f>
        <v>0</v>
      </c>
      <c r="T86">
        <f>calendario!AK33</f>
        <v>0</v>
      </c>
      <c r="U86">
        <f>calendario!AL33</f>
        <v>1</v>
      </c>
      <c r="V86">
        <f>calendario!AM33</f>
        <v>0</v>
      </c>
    </row>
    <row r="87" spans="1:22">
      <c r="A87" s="212" t="s">
        <v>819</v>
      </c>
      <c r="B87" s="105" t="s">
        <v>323</v>
      </c>
      <c r="C87" s="39" t="s">
        <v>310</v>
      </c>
      <c r="D87" s="105" t="s">
        <v>284</v>
      </c>
      <c r="E87" s="39" t="s">
        <v>310</v>
      </c>
      <c r="F87" s="107" t="str">
        <f t="shared" si="0"/>
        <v>25/01/2024</v>
      </c>
      <c r="G87" s="92">
        <f t="shared" si="2"/>
        <v>14</v>
      </c>
      <c r="H87" t="str">
        <f t="shared" si="1"/>
        <v>Luna Llena</v>
      </c>
      <c r="J87">
        <f t="shared" si="6"/>
        <v>4</v>
      </c>
      <c r="K87" t="str">
        <f t="shared" si="3"/>
        <v>Jueves</v>
      </c>
      <c r="L87" s="39">
        <f t="shared" si="4"/>
        <v>25</v>
      </c>
      <c r="N87" s="44">
        <f>INT(M80/4)</f>
        <v>506</v>
      </c>
    </row>
    <row r="88" spans="1:22">
      <c r="A88" s="212">
        <f>calendario!$AW$67</f>
        <v>5</v>
      </c>
      <c r="B88" s="105" t="s">
        <v>324</v>
      </c>
      <c r="C88" s="39" t="s">
        <v>310</v>
      </c>
      <c r="D88" s="105" t="s">
        <v>284</v>
      </c>
      <c r="E88" s="39" t="s">
        <v>310</v>
      </c>
      <c r="F88" s="107" t="str">
        <f t="shared" si="0"/>
        <v>26/01/2024</v>
      </c>
      <c r="G88" s="92">
        <f t="shared" si="2"/>
        <v>15</v>
      </c>
      <c r="H88" t="str">
        <f t="shared" si="1"/>
        <v>Luna Llena</v>
      </c>
      <c r="J88">
        <f t="shared" si="6"/>
        <v>5</v>
      </c>
      <c r="K88" t="str">
        <f t="shared" si="3"/>
        <v>Viernes</v>
      </c>
      <c r="L88" s="39">
        <f t="shared" si="4"/>
        <v>26</v>
      </c>
      <c r="N88" s="44">
        <f>MOD((M80+N87+N85),7)</f>
        <v>0</v>
      </c>
      <c r="O88" t="str">
        <f>VLOOKUP(N88,$H$45:$I$51,2)</f>
        <v>Domingo</v>
      </c>
    </row>
    <row r="89" spans="1:22">
      <c r="A89" s="212"/>
      <c r="B89" s="105" t="s">
        <v>325</v>
      </c>
      <c r="C89" s="39" t="s">
        <v>310</v>
      </c>
      <c r="D89" s="105" t="s">
        <v>284</v>
      </c>
      <c r="E89" s="39" t="s">
        <v>310</v>
      </c>
      <c r="F89" s="107" t="str">
        <f t="shared" si="0"/>
        <v>27/01/2024</v>
      </c>
      <c r="G89" s="92">
        <f t="shared" si="2"/>
        <v>16</v>
      </c>
      <c r="H89" t="str">
        <f t="shared" si="1"/>
        <v>Luna Llena</v>
      </c>
      <c r="J89">
        <f t="shared" si="6"/>
        <v>6</v>
      </c>
      <c r="K89" t="str">
        <f t="shared" si="3"/>
        <v>Sábado</v>
      </c>
      <c r="L89" s="39">
        <f t="shared" si="4"/>
        <v>27</v>
      </c>
    </row>
    <row r="90" spans="1:22">
      <c r="A90" s="212" t="s">
        <v>861</v>
      </c>
      <c r="B90" s="105" t="s">
        <v>326</v>
      </c>
      <c r="C90" s="39" t="s">
        <v>310</v>
      </c>
      <c r="D90" s="105" t="s">
        <v>284</v>
      </c>
      <c r="E90" s="39" t="s">
        <v>310</v>
      </c>
      <c r="F90" s="107" t="str">
        <f t="shared" si="0"/>
        <v>28/01/2024</v>
      </c>
      <c r="G90" s="92">
        <f t="shared" si="2"/>
        <v>17</v>
      </c>
      <c r="H90" t="str">
        <f t="shared" si="1"/>
        <v>Luna Llena</v>
      </c>
      <c r="J90">
        <f t="shared" si="6"/>
        <v>0</v>
      </c>
      <c r="K90" t="str">
        <f t="shared" si="3"/>
        <v>Domingo</v>
      </c>
      <c r="L90" s="39">
        <f t="shared" si="4"/>
        <v>28</v>
      </c>
      <c r="N90" s="47" t="s">
        <v>369</v>
      </c>
    </row>
    <row r="91" spans="1:22" ht="13.8" thickBot="1">
      <c r="A91" s="212" t="s">
        <v>862</v>
      </c>
      <c r="B91" s="105" t="s">
        <v>327</v>
      </c>
      <c r="C91" s="39" t="s">
        <v>310</v>
      </c>
      <c r="D91" s="105" t="s">
        <v>284</v>
      </c>
      <c r="E91" s="39" t="s">
        <v>310</v>
      </c>
      <c r="F91" s="107" t="str">
        <f t="shared" si="0"/>
        <v>29/01/2024</v>
      </c>
      <c r="G91" s="92">
        <f t="shared" si="2"/>
        <v>18</v>
      </c>
      <c r="H91" t="str">
        <f t="shared" si="1"/>
        <v>Luna Llena</v>
      </c>
      <c r="J91">
        <f t="shared" si="6"/>
        <v>1</v>
      </c>
      <c r="K91" t="str">
        <f t="shared" si="3"/>
        <v>Lunes</v>
      </c>
      <c r="L91" s="39">
        <f t="shared" si="4"/>
        <v>29</v>
      </c>
    </row>
    <row r="92" spans="1:22">
      <c r="A92" s="212">
        <f>calendario!$AY$80</f>
        <v>1</v>
      </c>
      <c r="B92" s="105" t="s">
        <v>328</v>
      </c>
      <c r="C92" s="39" t="s">
        <v>310</v>
      </c>
      <c r="D92" s="105" t="s">
        <v>284</v>
      </c>
      <c r="E92" s="39" t="s">
        <v>310</v>
      </c>
      <c r="F92" s="107" t="str">
        <f t="shared" si="0"/>
        <v>30/01/2024</v>
      </c>
      <c r="G92" s="92">
        <f t="shared" si="2"/>
        <v>19</v>
      </c>
      <c r="H92" t="str">
        <f t="shared" si="1"/>
        <v>Luna Llena</v>
      </c>
      <c r="J92">
        <f t="shared" si="6"/>
        <v>2</v>
      </c>
      <c r="K92" t="str">
        <f t="shared" si="3"/>
        <v>Martes</v>
      </c>
      <c r="L92" s="39">
        <f t="shared" si="4"/>
        <v>30</v>
      </c>
      <c r="N92" s="39">
        <f>INT(M80/100)</f>
        <v>20</v>
      </c>
      <c r="O92" s="152"/>
      <c r="P92" s="153"/>
      <c r="Q92" s="153"/>
      <c r="R92" s="153"/>
      <c r="S92" s="154" t="s">
        <v>370</v>
      </c>
    </row>
    <row r="93" spans="1:22">
      <c r="B93" s="105" t="s">
        <v>329</v>
      </c>
      <c r="C93" s="39" t="s">
        <v>310</v>
      </c>
      <c r="D93" s="105" t="s">
        <v>284</v>
      </c>
      <c r="E93" s="39" t="s">
        <v>310</v>
      </c>
      <c r="F93" s="107" t="str">
        <f t="shared" si="0"/>
        <v>31/01/2024</v>
      </c>
      <c r="G93" s="92">
        <f t="shared" si="2"/>
        <v>20</v>
      </c>
      <c r="H93" t="str">
        <f t="shared" si="1"/>
        <v>Luna Llena</v>
      </c>
      <c r="J93">
        <f t="shared" si="6"/>
        <v>3</v>
      </c>
      <c r="K93" t="str">
        <f t="shared" si="3"/>
        <v>Miércoles</v>
      </c>
      <c r="L93" s="39">
        <f t="shared" si="4"/>
        <v>31</v>
      </c>
      <c r="N93" s="44">
        <f>INT(N92/4)</f>
        <v>5</v>
      </c>
      <c r="O93" s="155" t="str">
        <f>IF(K91&lt;&gt;0,"LUNA LLENA PASCUAL","ERROR EN L'ANY")</f>
        <v>LUNA LLENA PASCUAL</v>
      </c>
      <c r="P93" s="156"/>
      <c r="Q93" s="156">
        <f>IF(O94&lt;32,O94,O94-31)</f>
        <v>25</v>
      </c>
      <c r="R93" s="156" t="str">
        <f>IF(O94&gt;31,"ABRIL","MARZO")</f>
        <v>MARZO</v>
      </c>
      <c r="S93" s="243" t="str">
        <f>IF(P80=1,O88,O103)</f>
        <v>Lunes</v>
      </c>
    </row>
    <row r="94" spans="1:22" ht="13.8" thickBot="1">
      <c r="A94" s="212" t="s">
        <v>371</v>
      </c>
      <c r="B94" s="105" t="s">
        <v>284</v>
      </c>
      <c r="C94" s="39" t="s">
        <v>310</v>
      </c>
      <c r="D94" s="105" t="s">
        <v>286</v>
      </c>
      <c r="E94" s="39" t="s">
        <v>310</v>
      </c>
      <c r="F94" s="107" t="str">
        <f t="shared" si="0"/>
        <v>01/02/2024</v>
      </c>
      <c r="G94" s="92">
        <f t="shared" si="2"/>
        <v>21</v>
      </c>
      <c r="H94" t="str">
        <f t="shared" si="1"/>
        <v>Cuarto Menguante</v>
      </c>
      <c r="J94">
        <f>calendario!$AC$8</f>
        <v>4</v>
      </c>
      <c r="K94" t="str">
        <f t="shared" si="3"/>
        <v>Jueves</v>
      </c>
      <c r="L94" s="39">
        <f t="shared" si="4"/>
        <v>1</v>
      </c>
      <c r="N94" s="44">
        <f>INT((8*N92+13)/25)</f>
        <v>6</v>
      </c>
      <c r="O94" s="157">
        <f>IF(P80=1,21+N85,21+N100)</f>
        <v>25</v>
      </c>
      <c r="P94" s="158"/>
      <c r="Q94" s="159" t="str">
        <f>IF(P80=1," CALENDARIO JULIANO",IF(P80=2,"CALENDARIO GREGORIANO","POCO FIABLE"))</f>
        <v>CALENDARIO GREGORIANO</v>
      </c>
      <c r="R94" s="158"/>
      <c r="S94" s="160"/>
    </row>
    <row r="95" spans="1:22">
      <c r="A95" s="212" t="s">
        <v>862</v>
      </c>
      <c r="B95" s="105" t="s">
        <v>286</v>
      </c>
      <c r="C95" s="39" t="s">
        <v>310</v>
      </c>
      <c r="D95" s="105" t="s">
        <v>286</v>
      </c>
      <c r="E95" s="39" t="s">
        <v>310</v>
      </c>
      <c r="F95" s="107" t="str">
        <f t="shared" si="0"/>
        <v>02/02/2024</v>
      </c>
      <c r="G95" s="92">
        <f t="shared" si="2"/>
        <v>22</v>
      </c>
      <c r="H95" t="str">
        <f t="shared" si="1"/>
        <v>Cuarto Menguante</v>
      </c>
      <c r="J95">
        <f>IF(J94&lt;6,J94+1,0)</f>
        <v>5</v>
      </c>
      <c r="K95" t="str">
        <f t="shared" si="3"/>
        <v>Viernes</v>
      </c>
      <c r="L95" s="39">
        <f t="shared" si="4"/>
        <v>2</v>
      </c>
      <c r="N95" s="44">
        <f>MOD((N92-N93-N94+19*N83+15),30)</f>
        <v>4</v>
      </c>
      <c r="Q95" s="726">
        <f>Q96+0</f>
        <v>45010</v>
      </c>
      <c r="R95" s="727"/>
    </row>
    <row r="96" spans="1:22">
      <c r="A96" s="241">
        <f>A101-13</f>
        <v>44997</v>
      </c>
      <c r="B96" s="105" t="s">
        <v>287</v>
      </c>
      <c r="C96" s="39" t="s">
        <v>310</v>
      </c>
      <c r="D96" s="105" t="s">
        <v>286</v>
      </c>
      <c r="E96" s="39" t="s">
        <v>310</v>
      </c>
      <c r="F96" s="107" t="str">
        <f t="shared" si="0"/>
        <v>03/02/2024</v>
      </c>
      <c r="G96" s="92">
        <f t="shared" si="2"/>
        <v>23</v>
      </c>
      <c r="H96" t="str">
        <f t="shared" si="1"/>
        <v>Cuarto Menguante</v>
      </c>
      <c r="J96">
        <f t="shared" ref="J96:J121" si="7">IF(J95&lt;6,J95+1,0)</f>
        <v>6</v>
      </c>
      <c r="K96" t="str">
        <f t="shared" si="3"/>
        <v>Sábado</v>
      </c>
      <c r="L96" s="39">
        <f t="shared" si="4"/>
        <v>3</v>
      </c>
      <c r="N96" s="44">
        <f>INT(N95/28)</f>
        <v>0</v>
      </c>
      <c r="Q96" s="242" t="str">
        <f>CONCATENATE(Q93,R93)</f>
        <v>25MARZO</v>
      </c>
    </row>
    <row r="97" spans="1:17">
      <c r="B97" s="105" t="s">
        <v>288</v>
      </c>
      <c r="C97" s="39" t="s">
        <v>310</v>
      </c>
      <c r="D97" s="105" t="s">
        <v>286</v>
      </c>
      <c r="E97" s="39" t="s">
        <v>310</v>
      </c>
      <c r="F97" s="107" t="str">
        <f t="shared" si="0"/>
        <v>04/02/2024</v>
      </c>
      <c r="G97" s="92">
        <f t="shared" si="2"/>
        <v>24</v>
      </c>
      <c r="H97" t="str">
        <f t="shared" si="1"/>
        <v>Cuarto Menguante</v>
      </c>
      <c r="J97">
        <f t="shared" si="7"/>
        <v>0</v>
      </c>
      <c r="K97" t="str">
        <f t="shared" si="3"/>
        <v>Domingo</v>
      </c>
      <c r="L97" s="39">
        <f t="shared" si="4"/>
        <v>4</v>
      </c>
      <c r="N97" s="44">
        <f>INT(29/(N95+1))</f>
        <v>5</v>
      </c>
    </row>
    <row r="98" spans="1:17">
      <c r="B98" s="105" t="s">
        <v>290</v>
      </c>
      <c r="C98" s="39" t="s">
        <v>310</v>
      </c>
      <c r="D98" s="105" t="s">
        <v>286</v>
      </c>
      <c r="E98" s="39" t="s">
        <v>310</v>
      </c>
      <c r="F98" s="107" t="str">
        <f t="shared" si="0"/>
        <v>05/02/2024</v>
      </c>
      <c r="G98" s="92">
        <f t="shared" si="2"/>
        <v>25</v>
      </c>
      <c r="H98" t="str">
        <f t="shared" si="1"/>
        <v>Cuarto Menguante</v>
      </c>
      <c r="J98">
        <f t="shared" si="7"/>
        <v>1</v>
      </c>
      <c r="K98" t="str">
        <f t="shared" si="3"/>
        <v>Lunes</v>
      </c>
      <c r="L98" s="39">
        <f t="shared" si="4"/>
        <v>5</v>
      </c>
      <c r="N98" s="44">
        <f>INT((21-N83)/11)</f>
        <v>1</v>
      </c>
    </row>
    <row r="99" spans="1:17">
      <c r="A99" s="212" t="s">
        <v>863</v>
      </c>
      <c r="B99" s="105" t="s">
        <v>291</v>
      </c>
      <c r="C99" s="39" t="s">
        <v>310</v>
      </c>
      <c r="D99" s="105" t="s">
        <v>286</v>
      </c>
      <c r="E99" s="39" t="s">
        <v>310</v>
      </c>
      <c r="F99" s="107" t="str">
        <f t="shared" si="0"/>
        <v>06/02/2024</v>
      </c>
      <c r="G99" s="92">
        <f t="shared" si="2"/>
        <v>26</v>
      </c>
      <c r="H99" t="str">
        <f t="shared" si="1"/>
        <v>Cuarto Menguante</v>
      </c>
      <c r="J99">
        <f t="shared" si="7"/>
        <v>2</v>
      </c>
      <c r="K99" t="str">
        <f t="shared" si="3"/>
        <v>Martes</v>
      </c>
      <c r="L99" s="39">
        <f t="shared" si="4"/>
        <v>6</v>
      </c>
      <c r="N99" s="44">
        <f>N95-N96*(1-N96*N97*N98)</f>
        <v>4</v>
      </c>
    </row>
    <row r="100" spans="1:17">
      <c r="A100" s="212" t="s">
        <v>862</v>
      </c>
      <c r="B100" s="105" t="s">
        <v>292</v>
      </c>
      <c r="C100" s="39" t="s">
        <v>310</v>
      </c>
      <c r="D100" s="105" t="s">
        <v>286</v>
      </c>
      <c r="E100" s="39" t="s">
        <v>310</v>
      </c>
      <c r="F100" s="107" t="str">
        <f t="shared" si="0"/>
        <v>07/02/2024</v>
      </c>
      <c r="G100" s="92">
        <f t="shared" si="2"/>
        <v>27</v>
      </c>
      <c r="H100" t="str">
        <f t="shared" si="1"/>
        <v>Cuarto Menguante</v>
      </c>
      <c r="J100">
        <f t="shared" si="7"/>
        <v>3</v>
      </c>
      <c r="K100" t="str">
        <f t="shared" si="3"/>
        <v>Miércoles</v>
      </c>
      <c r="L100" s="39">
        <f t="shared" si="4"/>
        <v>7</v>
      </c>
      <c r="N100" s="44">
        <f>IF(N99&gt;28,28,N99)</f>
        <v>4</v>
      </c>
    </row>
    <row r="101" spans="1:17">
      <c r="A101" s="241">
        <f>Q95</f>
        <v>45010</v>
      </c>
      <c r="B101" s="105" t="s">
        <v>293</v>
      </c>
      <c r="C101" s="39" t="s">
        <v>310</v>
      </c>
      <c r="D101" s="105" t="s">
        <v>286</v>
      </c>
      <c r="E101" s="39" t="s">
        <v>310</v>
      </c>
      <c r="F101" s="107" t="str">
        <f t="shared" si="0"/>
        <v>08/02/2024</v>
      </c>
      <c r="G101" s="92">
        <f t="shared" si="2"/>
        <v>28</v>
      </c>
      <c r="H101" t="str">
        <f t="shared" si="1"/>
        <v>Luna Nueva</v>
      </c>
      <c r="J101">
        <f t="shared" si="7"/>
        <v>4</v>
      </c>
      <c r="K101" t="str">
        <f t="shared" si="3"/>
        <v>Jueves</v>
      </c>
      <c r="L101" s="39">
        <f t="shared" si="4"/>
        <v>8</v>
      </c>
    </row>
    <row r="102" spans="1:17">
      <c r="A102" s="212" t="str">
        <f>S93</f>
        <v>Lunes</v>
      </c>
      <c r="B102" s="105" t="s">
        <v>294</v>
      </c>
      <c r="C102" s="39" t="s">
        <v>310</v>
      </c>
      <c r="D102" s="105" t="s">
        <v>286</v>
      </c>
      <c r="E102" s="39" t="s">
        <v>310</v>
      </c>
      <c r="F102" s="107" t="str">
        <f t="shared" si="0"/>
        <v>09/02/2024</v>
      </c>
      <c r="G102" s="92">
        <f t="shared" si="2"/>
        <v>29</v>
      </c>
      <c r="H102" t="str">
        <f t="shared" si="1"/>
        <v>Luna Nueva</v>
      </c>
      <c r="J102">
        <f t="shared" si="7"/>
        <v>5</v>
      </c>
      <c r="K102" t="str">
        <f t="shared" si="3"/>
        <v>Viernes</v>
      </c>
      <c r="L102" s="39">
        <f t="shared" si="4"/>
        <v>9</v>
      </c>
      <c r="P102">
        <v>1</v>
      </c>
      <c r="Q102" s="224" t="s">
        <v>775</v>
      </c>
    </row>
    <row r="103" spans="1:17">
      <c r="B103" s="105" t="s">
        <v>295</v>
      </c>
      <c r="C103" s="39" t="s">
        <v>310</v>
      </c>
      <c r="D103" s="105" t="s">
        <v>286</v>
      </c>
      <c r="E103" s="39" t="s">
        <v>310</v>
      </c>
      <c r="F103" s="107" t="str">
        <f t="shared" si="0"/>
        <v>10/02/2024</v>
      </c>
      <c r="G103" s="92">
        <f t="shared" si="2"/>
        <v>0</v>
      </c>
      <c r="H103" t="str">
        <f t="shared" si="1"/>
        <v>Luna Nueva</v>
      </c>
      <c r="J103">
        <f t="shared" si="7"/>
        <v>6</v>
      </c>
      <c r="K103" t="str">
        <f t="shared" si="3"/>
        <v>Sábado</v>
      </c>
      <c r="L103" s="39">
        <f t="shared" si="4"/>
        <v>10</v>
      </c>
      <c r="N103" s="161">
        <f>MOD((M80+N87+N100+2-N92+N93),7)</f>
        <v>1</v>
      </c>
      <c r="O103" t="str">
        <f>VLOOKUP(N103,$H$45:$I$51,2)</f>
        <v>Lunes</v>
      </c>
      <c r="P103">
        <v>2</v>
      </c>
      <c r="Q103" s="224" t="s">
        <v>776</v>
      </c>
    </row>
    <row r="104" spans="1:17">
      <c r="A104" s="245" t="s">
        <v>816</v>
      </c>
      <c r="B104" s="105" t="s">
        <v>297</v>
      </c>
      <c r="C104" s="39" t="s">
        <v>310</v>
      </c>
      <c r="D104" s="105" t="s">
        <v>286</v>
      </c>
      <c r="E104" s="39" t="s">
        <v>310</v>
      </c>
      <c r="F104" s="107" t="str">
        <f t="shared" si="0"/>
        <v>11/02/2024</v>
      </c>
      <c r="G104" s="92">
        <f t="shared" si="2"/>
        <v>1</v>
      </c>
      <c r="H104" t="str">
        <f t="shared" si="1"/>
        <v>Luna Nueva</v>
      </c>
      <c r="J104">
        <f t="shared" si="7"/>
        <v>0</v>
      </c>
      <c r="K104" t="str">
        <f t="shared" si="3"/>
        <v>Domingo</v>
      </c>
      <c r="L104" s="39">
        <f t="shared" si="4"/>
        <v>11</v>
      </c>
      <c r="P104">
        <v>3</v>
      </c>
      <c r="Q104" s="224" t="s">
        <v>777</v>
      </c>
    </row>
    <row r="105" spans="1:17">
      <c r="A105" s="245" t="s">
        <v>862</v>
      </c>
      <c r="B105" s="105" t="s">
        <v>298</v>
      </c>
      <c r="C105" s="39" t="s">
        <v>310</v>
      </c>
      <c r="D105" s="105" t="s">
        <v>286</v>
      </c>
      <c r="E105" s="39" t="s">
        <v>310</v>
      </c>
      <c r="F105" s="107" t="str">
        <f t="shared" si="0"/>
        <v>12/02/2024</v>
      </c>
      <c r="G105" s="92">
        <f t="shared" si="2"/>
        <v>2</v>
      </c>
      <c r="H105" t="str">
        <f t="shared" si="1"/>
        <v>Luna Nueva</v>
      </c>
      <c r="J105">
        <f t="shared" si="7"/>
        <v>1</v>
      </c>
      <c r="K105" t="str">
        <f t="shared" si="3"/>
        <v>Lunes</v>
      </c>
      <c r="L105" s="39">
        <f t="shared" si="4"/>
        <v>12</v>
      </c>
      <c r="P105">
        <v>4</v>
      </c>
      <c r="Q105" s="224" t="s">
        <v>778</v>
      </c>
    </row>
    <row r="106" spans="1:17">
      <c r="A106" s="244">
        <f>S83</f>
        <v>45016</v>
      </c>
      <c r="B106" s="105" t="s">
        <v>311</v>
      </c>
      <c r="C106" s="39" t="s">
        <v>310</v>
      </c>
      <c r="D106" s="105" t="s">
        <v>286</v>
      </c>
      <c r="E106" s="39" t="s">
        <v>310</v>
      </c>
      <c r="F106" s="107" t="str">
        <f t="shared" si="0"/>
        <v>13/02/2024</v>
      </c>
      <c r="G106" s="92">
        <f t="shared" si="2"/>
        <v>3</v>
      </c>
      <c r="H106" t="str">
        <f t="shared" si="1"/>
        <v>Luna Nueva</v>
      </c>
      <c r="J106">
        <f t="shared" si="7"/>
        <v>2</v>
      </c>
      <c r="K106" t="str">
        <f t="shared" si="3"/>
        <v>Martes</v>
      </c>
      <c r="L106" s="39">
        <f t="shared" si="4"/>
        <v>13</v>
      </c>
      <c r="P106">
        <v>5</v>
      </c>
      <c r="Q106" s="224" t="s">
        <v>12</v>
      </c>
    </row>
    <row r="107" spans="1:17">
      <c r="B107" s="105" t="s">
        <v>312</v>
      </c>
      <c r="C107" s="39" t="s">
        <v>310</v>
      </c>
      <c r="D107" s="105" t="s">
        <v>286</v>
      </c>
      <c r="E107" s="39" t="s">
        <v>310</v>
      </c>
      <c r="F107" s="107" t="str">
        <f t="shared" si="0"/>
        <v>14/02/2024</v>
      </c>
      <c r="G107" s="92">
        <f t="shared" si="2"/>
        <v>4</v>
      </c>
      <c r="H107" t="str">
        <f t="shared" si="1"/>
        <v>Luna Nueva</v>
      </c>
      <c r="J107">
        <f t="shared" si="7"/>
        <v>3</v>
      </c>
      <c r="K107" t="str">
        <f t="shared" si="3"/>
        <v>Miércoles</v>
      </c>
      <c r="L107" s="39">
        <f t="shared" si="4"/>
        <v>14</v>
      </c>
      <c r="P107">
        <v>6</v>
      </c>
      <c r="Q107" s="224" t="s">
        <v>779</v>
      </c>
    </row>
    <row r="108" spans="1:17">
      <c r="B108" s="105" t="s">
        <v>313</v>
      </c>
      <c r="C108" s="39" t="s">
        <v>310</v>
      </c>
      <c r="D108" s="105" t="s">
        <v>286</v>
      </c>
      <c r="E108" s="39" t="s">
        <v>310</v>
      </c>
      <c r="F108" s="107" t="str">
        <f t="shared" si="0"/>
        <v>15/02/2024</v>
      </c>
      <c r="G108" s="92">
        <f t="shared" si="2"/>
        <v>5</v>
      </c>
      <c r="H108" t="str">
        <f t="shared" si="1"/>
        <v>Luna Nueva</v>
      </c>
      <c r="J108">
        <f t="shared" si="7"/>
        <v>4</v>
      </c>
      <c r="K108" t="str">
        <f t="shared" si="3"/>
        <v>Jueves</v>
      </c>
      <c r="L108" s="39">
        <f t="shared" si="4"/>
        <v>15</v>
      </c>
      <c r="P108">
        <v>7</v>
      </c>
      <c r="Q108" s="224" t="s">
        <v>780</v>
      </c>
    </row>
    <row r="109" spans="1:17">
      <c r="B109" s="105" t="s">
        <v>314</v>
      </c>
      <c r="C109" s="39" t="s">
        <v>310</v>
      </c>
      <c r="D109" s="105" t="s">
        <v>286</v>
      </c>
      <c r="E109" s="39" t="s">
        <v>310</v>
      </c>
      <c r="F109" s="107" t="str">
        <f t="shared" si="0"/>
        <v>16/02/2024</v>
      </c>
      <c r="G109" s="92">
        <f t="shared" si="2"/>
        <v>6</v>
      </c>
      <c r="H109" t="str">
        <f t="shared" si="1"/>
        <v>Cuarto Creciente</v>
      </c>
      <c r="J109">
        <f t="shared" si="7"/>
        <v>5</v>
      </c>
      <c r="K109" t="str">
        <f t="shared" si="3"/>
        <v>Viernes</v>
      </c>
      <c r="L109" s="39">
        <f t="shared" si="4"/>
        <v>16</v>
      </c>
      <c r="P109">
        <v>8</v>
      </c>
      <c r="Q109" s="224" t="s">
        <v>781</v>
      </c>
    </row>
    <row r="110" spans="1:17">
      <c r="B110" s="105" t="s">
        <v>315</v>
      </c>
      <c r="C110" s="39" t="s">
        <v>310</v>
      </c>
      <c r="D110" s="105" t="s">
        <v>286</v>
      </c>
      <c r="E110" s="39" t="s">
        <v>310</v>
      </c>
      <c r="F110" s="107" t="str">
        <f t="shared" si="0"/>
        <v>17/02/2024</v>
      </c>
      <c r="G110" s="92">
        <f t="shared" si="2"/>
        <v>7</v>
      </c>
      <c r="H110" t="str">
        <f t="shared" si="1"/>
        <v>Cuarto Creciente</v>
      </c>
      <c r="J110">
        <f t="shared" si="7"/>
        <v>6</v>
      </c>
      <c r="K110" t="str">
        <f t="shared" si="3"/>
        <v>Sábado</v>
      </c>
      <c r="L110" s="39">
        <f t="shared" si="4"/>
        <v>17</v>
      </c>
      <c r="P110">
        <v>9</v>
      </c>
      <c r="Q110" s="224" t="s">
        <v>782</v>
      </c>
    </row>
    <row r="111" spans="1:17">
      <c r="B111" s="105" t="s">
        <v>316</v>
      </c>
      <c r="C111" s="39" t="s">
        <v>310</v>
      </c>
      <c r="D111" s="105" t="s">
        <v>286</v>
      </c>
      <c r="E111" s="39" t="s">
        <v>310</v>
      </c>
      <c r="F111" s="107" t="str">
        <f t="shared" si="0"/>
        <v>18/02/2024</v>
      </c>
      <c r="G111" s="92">
        <f t="shared" si="2"/>
        <v>8</v>
      </c>
      <c r="H111" t="str">
        <f t="shared" si="1"/>
        <v>Cuarto Creciente</v>
      </c>
      <c r="J111">
        <f t="shared" si="7"/>
        <v>0</v>
      </c>
      <c r="K111" t="str">
        <f t="shared" si="3"/>
        <v>Domingo</v>
      </c>
      <c r="L111" s="39">
        <f t="shared" si="4"/>
        <v>18</v>
      </c>
      <c r="P111">
        <v>10</v>
      </c>
      <c r="Q111" s="224" t="s">
        <v>783</v>
      </c>
    </row>
    <row r="112" spans="1:17">
      <c r="B112" s="105" t="s">
        <v>317</v>
      </c>
      <c r="C112" s="39" t="s">
        <v>310</v>
      </c>
      <c r="D112" s="105" t="s">
        <v>286</v>
      </c>
      <c r="E112" s="39" t="s">
        <v>310</v>
      </c>
      <c r="F112" s="107" t="str">
        <f t="shared" si="0"/>
        <v>19/02/2024</v>
      </c>
      <c r="G112" s="92">
        <f t="shared" si="2"/>
        <v>9</v>
      </c>
      <c r="H112" t="str">
        <f t="shared" si="1"/>
        <v>Cuarto Creciente</v>
      </c>
      <c r="J112">
        <f t="shared" si="7"/>
        <v>1</v>
      </c>
      <c r="K112" t="str">
        <f t="shared" si="3"/>
        <v>Lunes</v>
      </c>
      <c r="L112" s="39">
        <f t="shared" si="4"/>
        <v>19</v>
      </c>
      <c r="P112">
        <v>11</v>
      </c>
      <c r="Q112" s="224" t="s">
        <v>784</v>
      </c>
    </row>
    <row r="113" spans="2:17">
      <c r="B113" s="105" t="s">
        <v>318</v>
      </c>
      <c r="C113" s="39" t="s">
        <v>310</v>
      </c>
      <c r="D113" s="105" t="s">
        <v>286</v>
      </c>
      <c r="E113" s="39" t="s">
        <v>310</v>
      </c>
      <c r="F113" s="107" t="str">
        <f t="shared" si="0"/>
        <v>20/02/2024</v>
      </c>
      <c r="G113" s="92">
        <f t="shared" si="2"/>
        <v>10</v>
      </c>
      <c r="H113" t="str">
        <f t="shared" si="1"/>
        <v>Cuarto Creciente</v>
      </c>
      <c r="J113">
        <f t="shared" si="7"/>
        <v>2</v>
      </c>
      <c r="K113" t="str">
        <f t="shared" si="3"/>
        <v>Martes</v>
      </c>
      <c r="L113" s="39">
        <f t="shared" si="4"/>
        <v>20</v>
      </c>
      <c r="P113">
        <v>12</v>
      </c>
      <c r="Q113" s="224" t="s">
        <v>785</v>
      </c>
    </row>
    <row r="114" spans="2:17">
      <c r="B114" s="105" t="s">
        <v>319</v>
      </c>
      <c r="C114" s="39" t="s">
        <v>310</v>
      </c>
      <c r="D114" s="105" t="s">
        <v>286</v>
      </c>
      <c r="E114" s="39" t="s">
        <v>310</v>
      </c>
      <c r="F114" s="107" t="str">
        <f t="shared" si="0"/>
        <v>21/02/2024</v>
      </c>
      <c r="G114" s="92">
        <f t="shared" si="2"/>
        <v>11</v>
      </c>
      <c r="H114" t="str">
        <f t="shared" si="1"/>
        <v>Cuarto Creciente</v>
      </c>
      <c r="J114">
        <f t="shared" si="7"/>
        <v>3</v>
      </c>
      <c r="K114" t="str">
        <f t="shared" si="3"/>
        <v>Miércoles</v>
      </c>
      <c r="L114" s="39">
        <f t="shared" si="4"/>
        <v>21</v>
      </c>
      <c r="P114">
        <v>13</v>
      </c>
      <c r="Q114" s="224" t="s">
        <v>786</v>
      </c>
    </row>
    <row r="115" spans="2:17">
      <c r="B115" s="105" t="s">
        <v>320</v>
      </c>
      <c r="C115" s="39" t="s">
        <v>310</v>
      </c>
      <c r="D115" s="105" t="s">
        <v>286</v>
      </c>
      <c r="E115" s="39" t="s">
        <v>310</v>
      </c>
      <c r="F115" s="107" t="str">
        <f t="shared" si="0"/>
        <v>22/02/2024</v>
      </c>
      <c r="G115" s="92">
        <f t="shared" si="2"/>
        <v>12</v>
      </c>
      <c r="H115" t="str">
        <f t="shared" si="1"/>
        <v>Cuarto Creciente</v>
      </c>
      <c r="J115">
        <f t="shared" si="7"/>
        <v>4</v>
      </c>
      <c r="K115" t="str">
        <f t="shared" si="3"/>
        <v>Jueves</v>
      </c>
      <c r="L115" s="39">
        <f t="shared" si="4"/>
        <v>22</v>
      </c>
      <c r="P115">
        <v>14</v>
      </c>
      <c r="Q115" s="224" t="s">
        <v>787</v>
      </c>
    </row>
    <row r="116" spans="2:17">
      <c r="B116" s="105" t="s">
        <v>321</v>
      </c>
      <c r="C116" s="39" t="s">
        <v>310</v>
      </c>
      <c r="D116" s="105" t="s">
        <v>286</v>
      </c>
      <c r="E116" s="39" t="s">
        <v>310</v>
      </c>
      <c r="F116" s="107" t="str">
        <f t="shared" si="0"/>
        <v>23/02/2024</v>
      </c>
      <c r="G116" s="92">
        <f t="shared" si="2"/>
        <v>13</v>
      </c>
      <c r="H116" t="str">
        <f t="shared" si="1"/>
        <v>Cuarto Creciente</v>
      </c>
      <c r="J116">
        <f t="shared" si="7"/>
        <v>5</v>
      </c>
      <c r="K116" t="str">
        <f t="shared" si="3"/>
        <v>Viernes</v>
      </c>
      <c r="L116" s="39">
        <f t="shared" si="4"/>
        <v>23</v>
      </c>
      <c r="P116">
        <v>15</v>
      </c>
      <c r="Q116" s="224" t="s">
        <v>788</v>
      </c>
    </row>
    <row r="117" spans="2:17">
      <c r="B117" s="105" t="s">
        <v>322</v>
      </c>
      <c r="C117" s="39" t="s">
        <v>310</v>
      </c>
      <c r="D117" s="105" t="s">
        <v>286</v>
      </c>
      <c r="E117" s="39" t="s">
        <v>310</v>
      </c>
      <c r="F117" s="107" t="str">
        <f t="shared" si="0"/>
        <v>24/02/2024</v>
      </c>
      <c r="G117" s="92">
        <f t="shared" si="2"/>
        <v>14</v>
      </c>
      <c r="H117" t="str">
        <f t="shared" si="1"/>
        <v>Luna Llena</v>
      </c>
      <c r="J117">
        <f t="shared" si="7"/>
        <v>6</v>
      </c>
      <c r="K117" t="str">
        <f t="shared" si="3"/>
        <v>Sábado</v>
      </c>
      <c r="L117" s="39">
        <f t="shared" si="4"/>
        <v>24</v>
      </c>
      <c r="P117">
        <v>16</v>
      </c>
      <c r="Q117" s="224" t="s">
        <v>789</v>
      </c>
    </row>
    <row r="118" spans="2:17">
      <c r="B118" s="105" t="s">
        <v>323</v>
      </c>
      <c r="C118" s="39" t="s">
        <v>310</v>
      </c>
      <c r="D118" s="105" t="s">
        <v>286</v>
      </c>
      <c r="E118" s="39" t="s">
        <v>310</v>
      </c>
      <c r="F118" s="107" t="str">
        <f t="shared" si="0"/>
        <v>25/02/2024</v>
      </c>
      <c r="G118" s="92">
        <f t="shared" si="2"/>
        <v>15</v>
      </c>
      <c r="H118" t="str">
        <f t="shared" si="1"/>
        <v>Luna Llena</v>
      </c>
      <c r="J118">
        <f t="shared" si="7"/>
        <v>0</v>
      </c>
      <c r="K118" t="str">
        <f t="shared" si="3"/>
        <v>Domingo</v>
      </c>
      <c r="L118" s="39">
        <f t="shared" si="4"/>
        <v>25</v>
      </c>
      <c r="P118">
        <v>17</v>
      </c>
      <c r="Q118" s="224" t="s">
        <v>790</v>
      </c>
    </row>
    <row r="119" spans="2:17">
      <c r="B119" s="105" t="s">
        <v>324</v>
      </c>
      <c r="C119" s="39" t="s">
        <v>310</v>
      </c>
      <c r="D119" s="105" t="s">
        <v>286</v>
      </c>
      <c r="E119" s="39" t="s">
        <v>310</v>
      </c>
      <c r="F119" s="107" t="str">
        <f t="shared" si="0"/>
        <v>26/02/2024</v>
      </c>
      <c r="G119" s="92">
        <f t="shared" si="2"/>
        <v>16</v>
      </c>
      <c r="H119" t="str">
        <f t="shared" si="1"/>
        <v>Luna Llena</v>
      </c>
      <c r="J119">
        <f t="shared" si="7"/>
        <v>1</v>
      </c>
      <c r="K119" t="str">
        <f t="shared" si="3"/>
        <v>Lunes</v>
      </c>
      <c r="L119" s="39">
        <f t="shared" si="4"/>
        <v>26</v>
      </c>
      <c r="P119">
        <v>18</v>
      </c>
      <c r="Q119" s="224" t="s">
        <v>791</v>
      </c>
    </row>
    <row r="120" spans="2:17">
      <c r="B120" s="105" t="s">
        <v>325</v>
      </c>
      <c r="C120" s="39" t="s">
        <v>310</v>
      </c>
      <c r="D120" s="105" t="s">
        <v>286</v>
      </c>
      <c r="E120" s="39" t="s">
        <v>310</v>
      </c>
      <c r="F120" s="107" t="str">
        <f t="shared" si="0"/>
        <v>27/02/2024</v>
      </c>
      <c r="G120" s="92">
        <f t="shared" si="2"/>
        <v>17</v>
      </c>
      <c r="H120" t="str">
        <f t="shared" si="1"/>
        <v>Luna Llena</v>
      </c>
      <c r="J120">
        <f t="shared" si="7"/>
        <v>2</v>
      </c>
      <c r="K120" t="str">
        <f t="shared" si="3"/>
        <v>Martes</v>
      </c>
      <c r="L120" s="39">
        <f t="shared" si="4"/>
        <v>27</v>
      </c>
      <c r="P120">
        <v>19</v>
      </c>
      <c r="Q120" s="224" t="s">
        <v>782</v>
      </c>
    </row>
    <row r="121" spans="2:17">
      <c r="B121" s="105" t="s">
        <v>326</v>
      </c>
      <c r="C121" s="39" t="s">
        <v>310</v>
      </c>
      <c r="D121" s="105" t="s">
        <v>286</v>
      </c>
      <c r="E121" s="39" t="s">
        <v>310</v>
      </c>
      <c r="F121" s="107" t="str">
        <f t="shared" si="0"/>
        <v>28/02/2024</v>
      </c>
      <c r="G121" s="92">
        <f t="shared" si="2"/>
        <v>18</v>
      </c>
      <c r="H121" t="str">
        <f t="shared" si="1"/>
        <v>Luna Llena</v>
      </c>
      <c r="J121">
        <f t="shared" si="7"/>
        <v>3</v>
      </c>
      <c r="K121" t="str">
        <f t="shared" si="3"/>
        <v>Miércoles</v>
      </c>
      <c r="L121" s="39">
        <f t="shared" si="4"/>
        <v>28</v>
      </c>
      <c r="M121">
        <f>calendario!$AI$11</f>
        <v>1</v>
      </c>
    </row>
    <row r="122" spans="2:17">
      <c r="B122" s="105" t="s">
        <v>327</v>
      </c>
      <c r="C122" s="39" t="s">
        <v>310</v>
      </c>
      <c r="D122" s="105" t="s">
        <v>286</v>
      </c>
      <c r="E122" s="39" t="s">
        <v>310</v>
      </c>
      <c r="F122" s="107" t="str">
        <f>IF(J19&lt;&gt;0,CONCATENATE(B122,C122,D122,E122,$E$37),F121)</f>
        <v>29/02/2024</v>
      </c>
      <c r="G122" s="92">
        <f t="shared" si="2"/>
        <v>19</v>
      </c>
      <c r="H122" t="str">
        <f t="shared" si="1"/>
        <v>Luna Llena</v>
      </c>
      <c r="J122">
        <f>IF(AND(J121&lt;6,M121=1),J121+1,J121)</f>
        <v>4</v>
      </c>
      <c r="K122" t="str">
        <f t="shared" si="3"/>
        <v>Jueves</v>
      </c>
      <c r="L122" s="39">
        <f t="shared" si="4"/>
        <v>29</v>
      </c>
      <c r="M122" t="str">
        <f>IF(M121=1,"BISIESTO"," ")</f>
        <v>BISIESTO</v>
      </c>
    </row>
    <row r="123" spans="2:17">
      <c r="B123" s="105" t="s">
        <v>284</v>
      </c>
      <c r="C123" s="39" t="s">
        <v>310</v>
      </c>
      <c r="D123" s="105" t="s">
        <v>287</v>
      </c>
      <c r="E123" s="39" t="s">
        <v>310</v>
      </c>
      <c r="F123" s="107" t="str">
        <f t="shared" ref="F123:F186" si="8">CONCATENATE(B123,C123,D123,E123,$E$37)</f>
        <v>01/03/2024</v>
      </c>
      <c r="G123" s="92">
        <f t="shared" si="2"/>
        <v>20</v>
      </c>
      <c r="H123" t="str">
        <f t="shared" si="1"/>
        <v>Luna Llena</v>
      </c>
      <c r="J123">
        <f>calendario!$AC$9</f>
        <v>5</v>
      </c>
      <c r="K123" t="str">
        <f t="shared" si="3"/>
        <v>Viernes</v>
      </c>
      <c r="L123" s="39">
        <f t="shared" si="4"/>
        <v>1</v>
      </c>
    </row>
    <row r="124" spans="2:17">
      <c r="B124" s="105" t="s">
        <v>286</v>
      </c>
      <c r="C124" s="39" t="s">
        <v>310</v>
      </c>
      <c r="D124" s="105" t="s">
        <v>287</v>
      </c>
      <c r="E124" s="39" t="s">
        <v>310</v>
      </c>
      <c r="F124" s="107" t="str">
        <f t="shared" si="8"/>
        <v>02/03/2024</v>
      </c>
      <c r="G124" s="92">
        <f t="shared" si="2"/>
        <v>21</v>
      </c>
      <c r="H124" t="str">
        <f t="shared" si="1"/>
        <v>Cuarto Menguante</v>
      </c>
      <c r="J124">
        <f>IF(J123&lt;6,J123+1,0)</f>
        <v>6</v>
      </c>
      <c r="K124" t="str">
        <f t="shared" si="3"/>
        <v>Sábado</v>
      </c>
      <c r="L124" s="39">
        <f t="shared" si="4"/>
        <v>2</v>
      </c>
    </row>
    <row r="125" spans="2:17">
      <c r="B125" s="105" t="s">
        <v>287</v>
      </c>
      <c r="C125" s="39" t="s">
        <v>310</v>
      </c>
      <c r="D125" s="105" t="s">
        <v>287</v>
      </c>
      <c r="E125" s="39" t="s">
        <v>310</v>
      </c>
      <c r="F125" s="107" t="str">
        <f t="shared" si="8"/>
        <v>03/03/2024</v>
      </c>
      <c r="G125" s="92">
        <f t="shared" si="2"/>
        <v>22</v>
      </c>
      <c r="H125" t="str">
        <f t="shared" si="1"/>
        <v>Cuarto Menguante</v>
      </c>
      <c r="J125">
        <f t="shared" ref="J125:J188" si="9">IF(J124&lt;6,J124+1,0)</f>
        <v>0</v>
      </c>
      <c r="K125" t="str">
        <f t="shared" si="3"/>
        <v>Domingo</v>
      </c>
      <c r="L125" s="39">
        <f t="shared" si="4"/>
        <v>3</v>
      </c>
    </row>
    <row r="126" spans="2:17">
      <c r="B126" s="105" t="s">
        <v>288</v>
      </c>
      <c r="C126" s="39" t="s">
        <v>310</v>
      </c>
      <c r="D126" s="105" t="s">
        <v>287</v>
      </c>
      <c r="E126" s="39" t="s">
        <v>310</v>
      </c>
      <c r="F126" s="107" t="str">
        <f t="shared" si="8"/>
        <v>04/03/2024</v>
      </c>
      <c r="G126" s="92">
        <f t="shared" si="2"/>
        <v>23</v>
      </c>
      <c r="H126" t="str">
        <f t="shared" si="1"/>
        <v>Cuarto Menguante</v>
      </c>
      <c r="J126">
        <f t="shared" si="9"/>
        <v>1</v>
      </c>
      <c r="K126" t="str">
        <f t="shared" si="3"/>
        <v>Lunes</v>
      </c>
      <c r="L126" s="39">
        <f t="shared" si="4"/>
        <v>4</v>
      </c>
    </row>
    <row r="127" spans="2:17">
      <c r="B127" s="105" t="s">
        <v>290</v>
      </c>
      <c r="C127" s="39" t="s">
        <v>310</v>
      </c>
      <c r="D127" s="105" t="s">
        <v>287</v>
      </c>
      <c r="E127" s="39" t="s">
        <v>310</v>
      </c>
      <c r="F127" s="107" t="str">
        <f t="shared" si="8"/>
        <v>05/03/2024</v>
      </c>
      <c r="G127" s="92">
        <f t="shared" si="2"/>
        <v>24</v>
      </c>
      <c r="H127" t="str">
        <f t="shared" ref="H127:H190" si="10">VLOOKUP(G127,$J$32:$K$61,2)</f>
        <v>Cuarto Menguante</v>
      </c>
      <c r="J127">
        <f t="shared" si="9"/>
        <v>2</v>
      </c>
      <c r="K127" t="str">
        <f t="shared" si="3"/>
        <v>Martes</v>
      </c>
      <c r="L127" s="39">
        <f t="shared" si="4"/>
        <v>5</v>
      </c>
    </row>
    <row r="128" spans="2:17">
      <c r="B128" s="105" t="s">
        <v>291</v>
      </c>
      <c r="C128" s="39" t="s">
        <v>310</v>
      </c>
      <c r="D128" s="105" t="s">
        <v>287</v>
      </c>
      <c r="E128" s="39" t="s">
        <v>310</v>
      </c>
      <c r="F128" s="107" t="str">
        <f t="shared" si="8"/>
        <v>06/03/2024</v>
      </c>
      <c r="G128" s="92">
        <f t="shared" ref="G128:G191" si="11">MOD($A$69+B128+VLOOKUP(MONTH(F128),$B$35:$D$46,3),30)</f>
        <v>25</v>
      </c>
      <c r="H128" t="str">
        <f t="shared" si="10"/>
        <v>Cuarto Menguante</v>
      </c>
      <c r="J128">
        <f t="shared" si="9"/>
        <v>3</v>
      </c>
      <c r="K128" t="str">
        <f t="shared" ref="K128:K191" si="12">VLOOKUP(J128,$H$45:$I$52,2)</f>
        <v>Miércoles</v>
      </c>
      <c r="L128" s="39">
        <f t="shared" ref="L128:L191" si="13">VALUE(LEFT(F128,2))</f>
        <v>6</v>
      </c>
    </row>
    <row r="129" spans="2:12">
      <c r="B129" s="105" t="s">
        <v>292</v>
      </c>
      <c r="C129" s="39" t="s">
        <v>310</v>
      </c>
      <c r="D129" s="105" t="s">
        <v>287</v>
      </c>
      <c r="E129" s="39" t="s">
        <v>310</v>
      </c>
      <c r="F129" s="107" t="str">
        <f t="shared" si="8"/>
        <v>07/03/2024</v>
      </c>
      <c r="G129" s="92">
        <f t="shared" si="11"/>
        <v>26</v>
      </c>
      <c r="H129" t="str">
        <f t="shared" si="10"/>
        <v>Cuarto Menguante</v>
      </c>
      <c r="J129">
        <f t="shared" si="9"/>
        <v>4</v>
      </c>
      <c r="K129" t="str">
        <f t="shared" si="12"/>
        <v>Jueves</v>
      </c>
      <c r="L129" s="39">
        <f t="shared" si="13"/>
        <v>7</v>
      </c>
    </row>
    <row r="130" spans="2:12">
      <c r="B130" s="105" t="s">
        <v>293</v>
      </c>
      <c r="C130" s="39" t="s">
        <v>310</v>
      </c>
      <c r="D130" s="105" t="s">
        <v>287</v>
      </c>
      <c r="E130" s="39" t="s">
        <v>310</v>
      </c>
      <c r="F130" s="107" t="str">
        <f t="shared" si="8"/>
        <v>08/03/2024</v>
      </c>
      <c r="G130" s="92">
        <f t="shared" si="11"/>
        <v>27</v>
      </c>
      <c r="H130" t="str">
        <f t="shared" si="10"/>
        <v>Cuarto Menguante</v>
      </c>
      <c r="J130">
        <f t="shared" si="9"/>
        <v>5</v>
      </c>
      <c r="K130" t="str">
        <f t="shared" si="12"/>
        <v>Viernes</v>
      </c>
      <c r="L130" s="39">
        <f t="shared" si="13"/>
        <v>8</v>
      </c>
    </row>
    <row r="131" spans="2:12">
      <c r="B131" s="105" t="s">
        <v>294</v>
      </c>
      <c r="C131" s="39" t="s">
        <v>310</v>
      </c>
      <c r="D131" s="105" t="s">
        <v>287</v>
      </c>
      <c r="E131" s="39" t="s">
        <v>310</v>
      </c>
      <c r="F131" s="107" t="str">
        <f t="shared" si="8"/>
        <v>09/03/2024</v>
      </c>
      <c r="G131" s="92">
        <f t="shared" si="11"/>
        <v>28</v>
      </c>
      <c r="H131" t="str">
        <f t="shared" si="10"/>
        <v>Luna Nueva</v>
      </c>
      <c r="J131">
        <f t="shared" si="9"/>
        <v>6</v>
      </c>
      <c r="K131" t="str">
        <f t="shared" si="12"/>
        <v>Sábado</v>
      </c>
      <c r="L131" s="39">
        <f t="shared" si="13"/>
        <v>9</v>
      </c>
    </row>
    <row r="132" spans="2:12">
      <c r="B132" s="105" t="s">
        <v>295</v>
      </c>
      <c r="C132" s="39" t="s">
        <v>310</v>
      </c>
      <c r="D132" s="105" t="s">
        <v>287</v>
      </c>
      <c r="E132" s="39" t="s">
        <v>310</v>
      </c>
      <c r="F132" s="107" t="str">
        <f t="shared" si="8"/>
        <v>10/03/2024</v>
      </c>
      <c r="G132" s="92">
        <f t="shared" si="11"/>
        <v>29</v>
      </c>
      <c r="H132" t="str">
        <f t="shared" si="10"/>
        <v>Luna Nueva</v>
      </c>
      <c r="J132">
        <f t="shared" si="9"/>
        <v>0</v>
      </c>
      <c r="K132" t="str">
        <f t="shared" si="12"/>
        <v>Domingo</v>
      </c>
      <c r="L132" s="39">
        <f t="shared" si="13"/>
        <v>10</v>
      </c>
    </row>
    <row r="133" spans="2:12">
      <c r="B133" s="105" t="s">
        <v>297</v>
      </c>
      <c r="C133" s="39" t="s">
        <v>310</v>
      </c>
      <c r="D133" s="105" t="s">
        <v>287</v>
      </c>
      <c r="E133" s="39" t="s">
        <v>310</v>
      </c>
      <c r="F133" s="107" t="str">
        <f t="shared" si="8"/>
        <v>11/03/2024</v>
      </c>
      <c r="G133" s="92">
        <f t="shared" si="11"/>
        <v>0</v>
      </c>
      <c r="H133" t="str">
        <f t="shared" si="10"/>
        <v>Luna Nueva</v>
      </c>
      <c r="J133">
        <f t="shared" si="9"/>
        <v>1</v>
      </c>
      <c r="K133" t="str">
        <f t="shared" si="12"/>
        <v>Lunes</v>
      </c>
      <c r="L133" s="39">
        <f t="shared" si="13"/>
        <v>11</v>
      </c>
    </row>
    <row r="134" spans="2:12">
      <c r="B134" s="105" t="s">
        <v>298</v>
      </c>
      <c r="C134" s="39" t="s">
        <v>310</v>
      </c>
      <c r="D134" s="105" t="s">
        <v>287</v>
      </c>
      <c r="E134" s="39" t="s">
        <v>310</v>
      </c>
      <c r="F134" s="107" t="str">
        <f t="shared" si="8"/>
        <v>12/03/2024</v>
      </c>
      <c r="G134" s="92">
        <f t="shared" si="11"/>
        <v>1</v>
      </c>
      <c r="H134" t="str">
        <f t="shared" si="10"/>
        <v>Luna Nueva</v>
      </c>
      <c r="J134">
        <f t="shared" si="9"/>
        <v>2</v>
      </c>
      <c r="K134" t="str">
        <f t="shared" si="12"/>
        <v>Martes</v>
      </c>
      <c r="L134" s="39">
        <f t="shared" si="13"/>
        <v>12</v>
      </c>
    </row>
    <row r="135" spans="2:12">
      <c r="B135" s="105" t="s">
        <v>311</v>
      </c>
      <c r="C135" s="39" t="s">
        <v>310</v>
      </c>
      <c r="D135" s="105" t="s">
        <v>287</v>
      </c>
      <c r="E135" s="39" t="s">
        <v>310</v>
      </c>
      <c r="F135" s="107" t="str">
        <f t="shared" si="8"/>
        <v>13/03/2024</v>
      </c>
      <c r="G135" s="92">
        <f t="shared" si="11"/>
        <v>2</v>
      </c>
      <c r="H135" t="str">
        <f t="shared" si="10"/>
        <v>Luna Nueva</v>
      </c>
      <c r="J135">
        <f t="shared" si="9"/>
        <v>3</v>
      </c>
      <c r="K135" t="str">
        <f t="shared" si="12"/>
        <v>Miércoles</v>
      </c>
      <c r="L135" s="39">
        <f t="shared" si="13"/>
        <v>13</v>
      </c>
    </row>
    <row r="136" spans="2:12">
      <c r="B136" s="105" t="s">
        <v>312</v>
      </c>
      <c r="C136" s="39" t="s">
        <v>310</v>
      </c>
      <c r="D136" s="105" t="s">
        <v>287</v>
      </c>
      <c r="E136" s="39" t="s">
        <v>310</v>
      </c>
      <c r="F136" s="107" t="str">
        <f t="shared" si="8"/>
        <v>14/03/2024</v>
      </c>
      <c r="G136" s="92">
        <f t="shared" si="11"/>
        <v>3</v>
      </c>
      <c r="H136" t="str">
        <f t="shared" si="10"/>
        <v>Luna Nueva</v>
      </c>
      <c r="J136">
        <f t="shared" si="9"/>
        <v>4</v>
      </c>
      <c r="K136" t="str">
        <f t="shared" si="12"/>
        <v>Jueves</v>
      </c>
      <c r="L136" s="39">
        <f t="shared" si="13"/>
        <v>14</v>
      </c>
    </row>
    <row r="137" spans="2:12">
      <c r="B137" s="105" t="s">
        <v>313</v>
      </c>
      <c r="C137" s="39" t="s">
        <v>310</v>
      </c>
      <c r="D137" s="105" t="s">
        <v>287</v>
      </c>
      <c r="E137" s="39" t="s">
        <v>310</v>
      </c>
      <c r="F137" s="107" t="str">
        <f t="shared" si="8"/>
        <v>15/03/2024</v>
      </c>
      <c r="G137" s="92">
        <f t="shared" si="11"/>
        <v>4</v>
      </c>
      <c r="H137" t="str">
        <f t="shared" si="10"/>
        <v>Luna Nueva</v>
      </c>
      <c r="J137">
        <f t="shared" si="9"/>
        <v>5</v>
      </c>
      <c r="K137" t="str">
        <f t="shared" si="12"/>
        <v>Viernes</v>
      </c>
      <c r="L137" s="39">
        <f t="shared" si="13"/>
        <v>15</v>
      </c>
    </row>
    <row r="138" spans="2:12">
      <c r="B138" s="105" t="s">
        <v>314</v>
      </c>
      <c r="C138" s="39" t="s">
        <v>310</v>
      </c>
      <c r="D138" s="105" t="s">
        <v>287</v>
      </c>
      <c r="E138" s="39" t="s">
        <v>310</v>
      </c>
      <c r="F138" s="107" t="str">
        <f t="shared" si="8"/>
        <v>16/03/2024</v>
      </c>
      <c r="G138" s="92">
        <f t="shared" si="11"/>
        <v>5</v>
      </c>
      <c r="H138" t="str">
        <f t="shared" si="10"/>
        <v>Luna Nueva</v>
      </c>
      <c r="J138">
        <f t="shared" si="9"/>
        <v>6</v>
      </c>
      <c r="K138" t="str">
        <f t="shared" si="12"/>
        <v>Sábado</v>
      </c>
      <c r="L138" s="39">
        <f t="shared" si="13"/>
        <v>16</v>
      </c>
    </row>
    <row r="139" spans="2:12">
      <c r="B139" s="105" t="s">
        <v>315</v>
      </c>
      <c r="C139" s="39" t="s">
        <v>310</v>
      </c>
      <c r="D139" s="105" t="s">
        <v>287</v>
      </c>
      <c r="E139" s="39" t="s">
        <v>310</v>
      </c>
      <c r="F139" s="107" t="str">
        <f t="shared" si="8"/>
        <v>17/03/2024</v>
      </c>
      <c r="G139" s="92">
        <f t="shared" si="11"/>
        <v>6</v>
      </c>
      <c r="H139" t="str">
        <f t="shared" si="10"/>
        <v>Cuarto Creciente</v>
      </c>
      <c r="J139">
        <f t="shared" si="9"/>
        <v>0</v>
      </c>
      <c r="K139" t="str">
        <f t="shared" si="12"/>
        <v>Domingo</v>
      </c>
      <c r="L139" s="39">
        <f t="shared" si="13"/>
        <v>17</v>
      </c>
    </row>
    <row r="140" spans="2:12">
      <c r="B140" s="105" t="s">
        <v>316</v>
      </c>
      <c r="C140" s="39" t="s">
        <v>310</v>
      </c>
      <c r="D140" s="105" t="s">
        <v>287</v>
      </c>
      <c r="E140" s="39" t="s">
        <v>310</v>
      </c>
      <c r="F140" s="107" t="str">
        <f t="shared" si="8"/>
        <v>18/03/2024</v>
      </c>
      <c r="G140" s="92">
        <f t="shared" si="11"/>
        <v>7</v>
      </c>
      <c r="H140" t="str">
        <f t="shared" si="10"/>
        <v>Cuarto Creciente</v>
      </c>
      <c r="J140">
        <f t="shared" si="9"/>
        <v>1</v>
      </c>
      <c r="K140" t="str">
        <f t="shared" si="12"/>
        <v>Lunes</v>
      </c>
      <c r="L140" s="39">
        <f t="shared" si="13"/>
        <v>18</v>
      </c>
    </row>
    <row r="141" spans="2:12">
      <c r="B141" s="105" t="s">
        <v>317</v>
      </c>
      <c r="C141" s="39" t="s">
        <v>310</v>
      </c>
      <c r="D141" s="105" t="s">
        <v>287</v>
      </c>
      <c r="E141" s="39" t="s">
        <v>310</v>
      </c>
      <c r="F141" s="107" t="str">
        <f t="shared" si="8"/>
        <v>19/03/2024</v>
      </c>
      <c r="G141" s="92">
        <f t="shared" si="11"/>
        <v>8</v>
      </c>
      <c r="H141" t="str">
        <f t="shared" si="10"/>
        <v>Cuarto Creciente</v>
      </c>
      <c r="J141">
        <f t="shared" si="9"/>
        <v>2</v>
      </c>
      <c r="K141" t="str">
        <f t="shared" si="12"/>
        <v>Martes</v>
      </c>
      <c r="L141" s="39">
        <f t="shared" si="13"/>
        <v>19</v>
      </c>
    </row>
    <row r="142" spans="2:12">
      <c r="B142" s="105" t="s">
        <v>318</v>
      </c>
      <c r="C142" s="39" t="s">
        <v>310</v>
      </c>
      <c r="D142" s="105" t="s">
        <v>287</v>
      </c>
      <c r="E142" s="39" t="s">
        <v>310</v>
      </c>
      <c r="F142" s="107" t="str">
        <f t="shared" si="8"/>
        <v>20/03/2024</v>
      </c>
      <c r="G142" s="92">
        <f t="shared" si="11"/>
        <v>9</v>
      </c>
      <c r="H142" t="str">
        <f t="shared" si="10"/>
        <v>Cuarto Creciente</v>
      </c>
      <c r="J142">
        <f t="shared" si="9"/>
        <v>3</v>
      </c>
      <c r="K142" t="str">
        <f t="shared" si="12"/>
        <v>Miércoles</v>
      </c>
      <c r="L142" s="39">
        <f t="shared" si="13"/>
        <v>20</v>
      </c>
    </row>
    <row r="143" spans="2:12">
      <c r="B143" s="105" t="s">
        <v>319</v>
      </c>
      <c r="C143" s="39" t="s">
        <v>310</v>
      </c>
      <c r="D143" s="105" t="s">
        <v>287</v>
      </c>
      <c r="E143" s="39" t="s">
        <v>310</v>
      </c>
      <c r="F143" s="107" t="str">
        <f t="shared" si="8"/>
        <v>21/03/2024</v>
      </c>
      <c r="G143" s="92">
        <f t="shared" si="11"/>
        <v>10</v>
      </c>
      <c r="H143" t="str">
        <f t="shared" si="10"/>
        <v>Cuarto Creciente</v>
      </c>
      <c r="J143">
        <f t="shared" si="9"/>
        <v>4</v>
      </c>
      <c r="K143" t="str">
        <f t="shared" si="12"/>
        <v>Jueves</v>
      </c>
      <c r="L143" s="39">
        <f t="shared" si="13"/>
        <v>21</v>
      </c>
    </row>
    <row r="144" spans="2:12">
      <c r="B144" s="105" t="s">
        <v>320</v>
      </c>
      <c r="C144" s="39" t="s">
        <v>310</v>
      </c>
      <c r="D144" s="105" t="s">
        <v>287</v>
      </c>
      <c r="E144" s="39" t="s">
        <v>310</v>
      </c>
      <c r="F144" s="107" t="str">
        <f t="shared" si="8"/>
        <v>22/03/2024</v>
      </c>
      <c r="G144" s="92">
        <f t="shared" si="11"/>
        <v>11</v>
      </c>
      <c r="H144" t="str">
        <f t="shared" si="10"/>
        <v>Cuarto Creciente</v>
      </c>
      <c r="J144">
        <f t="shared" si="9"/>
        <v>5</v>
      </c>
      <c r="K144" t="str">
        <f t="shared" si="12"/>
        <v>Viernes</v>
      </c>
      <c r="L144" s="39">
        <f t="shared" si="13"/>
        <v>22</v>
      </c>
    </row>
    <row r="145" spans="2:12">
      <c r="B145" s="105" t="s">
        <v>321</v>
      </c>
      <c r="C145" s="39" t="s">
        <v>310</v>
      </c>
      <c r="D145" s="105" t="s">
        <v>287</v>
      </c>
      <c r="E145" s="39" t="s">
        <v>310</v>
      </c>
      <c r="F145" s="107" t="str">
        <f t="shared" si="8"/>
        <v>23/03/2024</v>
      </c>
      <c r="G145" s="92">
        <f t="shared" si="11"/>
        <v>12</v>
      </c>
      <c r="H145" t="str">
        <f t="shared" si="10"/>
        <v>Cuarto Creciente</v>
      </c>
      <c r="J145">
        <f t="shared" si="9"/>
        <v>6</v>
      </c>
      <c r="K145" t="str">
        <f t="shared" si="12"/>
        <v>Sábado</v>
      </c>
      <c r="L145" s="39">
        <f t="shared" si="13"/>
        <v>23</v>
      </c>
    </row>
    <row r="146" spans="2:12">
      <c r="B146" s="105" t="s">
        <v>322</v>
      </c>
      <c r="C146" s="39" t="s">
        <v>310</v>
      </c>
      <c r="D146" s="105" t="s">
        <v>287</v>
      </c>
      <c r="E146" s="39" t="s">
        <v>310</v>
      </c>
      <c r="F146" s="107" t="str">
        <f t="shared" si="8"/>
        <v>24/03/2024</v>
      </c>
      <c r="G146" s="92">
        <f t="shared" si="11"/>
        <v>13</v>
      </c>
      <c r="H146" t="str">
        <f t="shared" si="10"/>
        <v>Cuarto Creciente</v>
      </c>
      <c r="J146">
        <f t="shared" si="9"/>
        <v>0</v>
      </c>
      <c r="K146" t="str">
        <f t="shared" si="12"/>
        <v>Domingo</v>
      </c>
      <c r="L146" s="39">
        <f t="shared" si="13"/>
        <v>24</v>
      </c>
    </row>
    <row r="147" spans="2:12">
      <c r="B147" s="105" t="s">
        <v>323</v>
      </c>
      <c r="C147" s="39" t="s">
        <v>310</v>
      </c>
      <c r="D147" s="105" t="s">
        <v>287</v>
      </c>
      <c r="E147" s="39" t="s">
        <v>310</v>
      </c>
      <c r="F147" s="107" t="str">
        <f t="shared" si="8"/>
        <v>25/03/2024</v>
      </c>
      <c r="G147" s="92">
        <f t="shared" si="11"/>
        <v>14</v>
      </c>
      <c r="H147" t="str">
        <f t="shared" si="10"/>
        <v>Luna Llena</v>
      </c>
      <c r="J147">
        <f t="shared" si="9"/>
        <v>1</v>
      </c>
      <c r="K147" t="str">
        <f t="shared" si="12"/>
        <v>Lunes</v>
      </c>
      <c r="L147" s="39">
        <f t="shared" si="13"/>
        <v>25</v>
      </c>
    </row>
    <row r="148" spans="2:12">
      <c r="B148" s="105" t="s">
        <v>324</v>
      </c>
      <c r="C148" s="39" t="s">
        <v>310</v>
      </c>
      <c r="D148" s="105" t="s">
        <v>287</v>
      </c>
      <c r="E148" s="39" t="s">
        <v>310</v>
      </c>
      <c r="F148" s="107" t="str">
        <f t="shared" si="8"/>
        <v>26/03/2024</v>
      </c>
      <c r="G148" s="92">
        <f t="shared" si="11"/>
        <v>15</v>
      </c>
      <c r="H148" t="str">
        <f t="shared" si="10"/>
        <v>Luna Llena</v>
      </c>
      <c r="J148">
        <f t="shared" si="9"/>
        <v>2</v>
      </c>
      <c r="K148" t="str">
        <f t="shared" si="12"/>
        <v>Martes</v>
      </c>
      <c r="L148" s="39">
        <f t="shared" si="13"/>
        <v>26</v>
      </c>
    </row>
    <row r="149" spans="2:12">
      <c r="B149" s="105" t="s">
        <v>325</v>
      </c>
      <c r="C149" s="39" t="s">
        <v>310</v>
      </c>
      <c r="D149" s="105" t="s">
        <v>287</v>
      </c>
      <c r="E149" s="39" t="s">
        <v>310</v>
      </c>
      <c r="F149" s="107" t="str">
        <f t="shared" si="8"/>
        <v>27/03/2024</v>
      </c>
      <c r="G149" s="92">
        <f t="shared" si="11"/>
        <v>16</v>
      </c>
      <c r="H149" t="str">
        <f t="shared" si="10"/>
        <v>Luna Llena</v>
      </c>
      <c r="J149">
        <f t="shared" si="9"/>
        <v>3</v>
      </c>
      <c r="K149" t="str">
        <f t="shared" si="12"/>
        <v>Miércoles</v>
      </c>
      <c r="L149" s="39">
        <f t="shared" si="13"/>
        <v>27</v>
      </c>
    </row>
    <row r="150" spans="2:12">
      <c r="B150" s="105" t="s">
        <v>326</v>
      </c>
      <c r="C150" s="39" t="s">
        <v>310</v>
      </c>
      <c r="D150" s="105" t="s">
        <v>287</v>
      </c>
      <c r="E150" s="39" t="s">
        <v>310</v>
      </c>
      <c r="F150" s="107" t="str">
        <f t="shared" si="8"/>
        <v>28/03/2024</v>
      </c>
      <c r="G150" s="92">
        <f t="shared" si="11"/>
        <v>17</v>
      </c>
      <c r="H150" t="str">
        <f t="shared" si="10"/>
        <v>Luna Llena</v>
      </c>
      <c r="J150">
        <f t="shared" si="9"/>
        <v>4</v>
      </c>
      <c r="K150" t="str">
        <f t="shared" si="12"/>
        <v>Jueves</v>
      </c>
      <c r="L150" s="39">
        <f t="shared" si="13"/>
        <v>28</v>
      </c>
    </row>
    <row r="151" spans="2:12">
      <c r="B151" s="105">
        <v>29</v>
      </c>
      <c r="C151" s="39" t="s">
        <v>310</v>
      </c>
      <c r="D151" s="105" t="s">
        <v>287</v>
      </c>
      <c r="E151" s="39" t="s">
        <v>310</v>
      </c>
      <c r="F151" s="107" t="str">
        <f t="shared" si="8"/>
        <v>29/03/2024</v>
      </c>
      <c r="G151" s="92">
        <f t="shared" si="11"/>
        <v>18</v>
      </c>
      <c r="H151" t="str">
        <f t="shared" si="10"/>
        <v>Luna Llena</v>
      </c>
      <c r="J151">
        <f t="shared" si="9"/>
        <v>5</v>
      </c>
      <c r="K151" t="str">
        <f t="shared" si="12"/>
        <v>Viernes</v>
      </c>
      <c r="L151" s="39">
        <f t="shared" si="13"/>
        <v>29</v>
      </c>
    </row>
    <row r="152" spans="2:12">
      <c r="B152" s="105">
        <v>30</v>
      </c>
      <c r="C152" s="39" t="s">
        <v>310</v>
      </c>
      <c r="D152" s="105" t="s">
        <v>287</v>
      </c>
      <c r="E152" s="39" t="s">
        <v>310</v>
      </c>
      <c r="F152" s="107" t="str">
        <f t="shared" si="8"/>
        <v>30/03/2024</v>
      </c>
      <c r="G152" s="92">
        <f t="shared" si="11"/>
        <v>19</v>
      </c>
      <c r="H152" t="str">
        <f t="shared" si="10"/>
        <v>Luna Llena</v>
      </c>
      <c r="J152">
        <f t="shared" si="9"/>
        <v>6</v>
      </c>
      <c r="K152" t="str">
        <f t="shared" si="12"/>
        <v>Sábado</v>
      </c>
      <c r="L152" s="39">
        <f t="shared" si="13"/>
        <v>30</v>
      </c>
    </row>
    <row r="153" spans="2:12">
      <c r="B153" s="105">
        <v>31</v>
      </c>
      <c r="C153" s="39" t="s">
        <v>310</v>
      </c>
      <c r="D153" s="105" t="s">
        <v>287</v>
      </c>
      <c r="E153" s="39" t="s">
        <v>310</v>
      </c>
      <c r="F153" s="107" t="str">
        <f t="shared" si="8"/>
        <v>31/03/2024</v>
      </c>
      <c r="G153" s="92">
        <f t="shared" si="11"/>
        <v>20</v>
      </c>
      <c r="H153" t="str">
        <f t="shared" si="10"/>
        <v>Luna Llena</v>
      </c>
      <c r="J153">
        <f t="shared" si="9"/>
        <v>0</v>
      </c>
      <c r="K153" t="str">
        <f t="shared" si="12"/>
        <v>Domingo</v>
      </c>
      <c r="L153" s="39">
        <f t="shared" si="13"/>
        <v>31</v>
      </c>
    </row>
    <row r="154" spans="2:12">
      <c r="B154" s="105" t="s">
        <v>284</v>
      </c>
      <c r="C154" s="39" t="s">
        <v>310</v>
      </c>
      <c r="D154" s="105" t="s">
        <v>288</v>
      </c>
      <c r="E154" s="39" t="s">
        <v>310</v>
      </c>
      <c r="F154" s="107" t="str">
        <f t="shared" si="8"/>
        <v>01/04/2024</v>
      </c>
      <c r="G154" s="92">
        <f t="shared" si="11"/>
        <v>21</v>
      </c>
      <c r="H154" t="str">
        <f t="shared" si="10"/>
        <v>Cuarto Menguante</v>
      </c>
      <c r="J154">
        <f t="shared" si="9"/>
        <v>1</v>
      </c>
      <c r="K154" t="str">
        <f t="shared" si="12"/>
        <v>Lunes</v>
      </c>
      <c r="L154" s="39">
        <f t="shared" si="13"/>
        <v>1</v>
      </c>
    </row>
    <row r="155" spans="2:12">
      <c r="B155" s="105" t="s">
        <v>286</v>
      </c>
      <c r="C155" s="39" t="s">
        <v>310</v>
      </c>
      <c r="D155" s="105" t="s">
        <v>288</v>
      </c>
      <c r="E155" s="39" t="s">
        <v>310</v>
      </c>
      <c r="F155" s="107" t="str">
        <f t="shared" si="8"/>
        <v>02/04/2024</v>
      </c>
      <c r="G155" s="92">
        <f t="shared" si="11"/>
        <v>22</v>
      </c>
      <c r="H155" t="str">
        <f t="shared" si="10"/>
        <v>Cuarto Menguante</v>
      </c>
      <c r="J155">
        <f t="shared" si="9"/>
        <v>2</v>
      </c>
      <c r="K155" t="str">
        <f t="shared" si="12"/>
        <v>Martes</v>
      </c>
      <c r="L155" s="39">
        <f t="shared" si="13"/>
        <v>2</v>
      </c>
    </row>
    <row r="156" spans="2:12">
      <c r="B156" s="105" t="s">
        <v>287</v>
      </c>
      <c r="C156" s="39" t="s">
        <v>310</v>
      </c>
      <c r="D156" s="105" t="s">
        <v>288</v>
      </c>
      <c r="E156" s="39" t="s">
        <v>310</v>
      </c>
      <c r="F156" s="107" t="str">
        <f t="shared" si="8"/>
        <v>03/04/2024</v>
      </c>
      <c r="G156" s="92">
        <f t="shared" si="11"/>
        <v>23</v>
      </c>
      <c r="H156" t="str">
        <f t="shared" si="10"/>
        <v>Cuarto Menguante</v>
      </c>
      <c r="J156">
        <f t="shared" si="9"/>
        <v>3</v>
      </c>
      <c r="K156" t="str">
        <f t="shared" si="12"/>
        <v>Miércoles</v>
      </c>
      <c r="L156" s="39">
        <f t="shared" si="13"/>
        <v>3</v>
      </c>
    </row>
    <row r="157" spans="2:12">
      <c r="B157" s="105" t="s">
        <v>288</v>
      </c>
      <c r="C157" s="39" t="s">
        <v>310</v>
      </c>
      <c r="D157" s="105" t="s">
        <v>288</v>
      </c>
      <c r="E157" s="39" t="s">
        <v>310</v>
      </c>
      <c r="F157" s="107" t="str">
        <f t="shared" si="8"/>
        <v>04/04/2024</v>
      </c>
      <c r="G157" s="92">
        <f t="shared" si="11"/>
        <v>24</v>
      </c>
      <c r="H157" t="str">
        <f t="shared" si="10"/>
        <v>Cuarto Menguante</v>
      </c>
      <c r="J157">
        <f t="shared" si="9"/>
        <v>4</v>
      </c>
      <c r="K157" t="str">
        <f t="shared" si="12"/>
        <v>Jueves</v>
      </c>
      <c r="L157" s="39">
        <f t="shared" si="13"/>
        <v>4</v>
      </c>
    </row>
    <row r="158" spans="2:12">
      <c r="B158" s="105" t="s">
        <v>290</v>
      </c>
      <c r="C158" s="39" t="s">
        <v>310</v>
      </c>
      <c r="D158" s="105" t="s">
        <v>288</v>
      </c>
      <c r="E158" s="39" t="s">
        <v>310</v>
      </c>
      <c r="F158" s="107" t="str">
        <f t="shared" si="8"/>
        <v>05/04/2024</v>
      </c>
      <c r="G158" s="92">
        <f t="shared" si="11"/>
        <v>25</v>
      </c>
      <c r="H158" t="str">
        <f t="shared" si="10"/>
        <v>Cuarto Menguante</v>
      </c>
      <c r="J158">
        <f t="shared" si="9"/>
        <v>5</v>
      </c>
      <c r="K158" t="str">
        <f t="shared" si="12"/>
        <v>Viernes</v>
      </c>
      <c r="L158" s="39">
        <f t="shared" si="13"/>
        <v>5</v>
      </c>
    </row>
    <row r="159" spans="2:12">
      <c r="B159" s="105" t="s">
        <v>291</v>
      </c>
      <c r="C159" s="39" t="s">
        <v>310</v>
      </c>
      <c r="D159" s="105" t="s">
        <v>288</v>
      </c>
      <c r="E159" s="39" t="s">
        <v>310</v>
      </c>
      <c r="F159" s="107" t="str">
        <f t="shared" si="8"/>
        <v>06/04/2024</v>
      </c>
      <c r="G159" s="92">
        <f t="shared" si="11"/>
        <v>26</v>
      </c>
      <c r="H159" t="str">
        <f t="shared" si="10"/>
        <v>Cuarto Menguante</v>
      </c>
      <c r="J159">
        <f t="shared" si="9"/>
        <v>6</v>
      </c>
      <c r="K159" t="str">
        <f t="shared" si="12"/>
        <v>Sábado</v>
      </c>
      <c r="L159" s="39">
        <f t="shared" si="13"/>
        <v>6</v>
      </c>
    </row>
    <row r="160" spans="2:12">
      <c r="B160" s="105" t="s">
        <v>292</v>
      </c>
      <c r="C160" s="39" t="s">
        <v>310</v>
      </c>
      <c r="D160" s="105" t="s">
        <v>288</v>
      </c>
      <c r="E160" s="39" t="s">
        <v>310</v>
      </c>
      <c r="F160" s="107" t="str">
        <f t="shared" si="8"/>
        <v>07/04/2024</v>
      </c>
      <c r="G160" s="92">
        <f t="shared" si="11"/>
        <v>27</v>
      </c>
      <c r="H160" t="str">
        <f t="shared" si="10"/>
        <v>Cuarto Menguante</v>
      </c>
      <c r="J160">
        <f t="shared" si="9"/>
        <v>0</v>
      </c>
      <c r="K160" t="str">
        <f t="shared" si="12"/>
        <v>Domingo</v>
      </c>
      <c r="L160" s="39">
        <f t="shared" si="13"/>
        <v>7</v>
      </c>
    </row>
    <row r="161" spans="2:12">
      <c r="B161" s="105" t="s">
        <v>293</v>
      </c>
      <c r="C161" s="39" t="s">
        <v>310</v>
      </c>
      <c r="D161" s="105" t="s">
        <v>288</v>
      </c>
      <c r="E161" s="39" t="s">
        <v>310</v>
      </c>
      <c r="F161" s="107" t="str">
        <f t="shared" si="8"/>
        <v>08/04/2024</v>
      </c>
      <c r="G161" s="92">
        <f t="shared" si="11"/>
        <v>28</v>
      </c>
      <c r="H161" t="str">
        <f t="shared" si="10"/>
        <v>Luna Nueva</v>
      </c>
      <c r="J161">
        <f t="shared" si="9"/>
        <v>1</v>
      </c>
      <c r="K161" t="str">
        <f t="shared" si="12"/>
        <v>Lunes</v>
      </c>
      <c r="L161" s="39">
        <f t="shared" si="13"/>
        <v>8</v>
      </c>
    </row>
    <row r="162" spans="2:12">
      <c r="B162" s="105" t="s">
        <v>294</v>
      </c>
      <c r="C162" s="39" t="s">
        <v>310</v>
      </c>
      <c r="D162" s="105" t="s">
        <v>288</v>
      </c>
      <c r="E162" s="39" t="s">
        <v>310</v>
      </c>
      <c r="F162" s="107" t="str">
        <f t="shared" si="8"/>
        <v>09/04/2024</v>
      </c>
      <c r="G162" s="92">
        <f t="shared" si="11"/>
        <v>29</v>
      </c>
      <c r="H162" t="str">
        <f t="shared" si="10"/>
        <v>Luna Nueva</v>
      </c>
      <c r="J162">
        <f t="shared" si="9"/>
        <v>2</v>
      </c>
      <c r="K162" t="str">
        <f t="shared" si="12"/>
        <v>Martes</v>
      </c>
      <c r="L162" s="39">
        <f t="shared" si="13"/>
        <v>9</v>
      </c>
    </row>
    <row r="163" spans="2:12">
      <c r="B163" s="105" t="s">
        <v>295</v>
      </c>
      <c r="C163" s="39" t="s">
        <v>310</v>
      </c>
      <c r="D163" s="105" t="s">
        <v>288</v>
      </c>
      <c r="E163" s="39" t="s">
        <v>310</v>
      </c>
      <c r="F163" s="107" t="str">
        <f t="shared" si="8"/>
        <v>10/04/2024</v>
      </c>
      <c r="G163" s="92">
        <f t="shared" si="11"/>
        <v>0</v>
      </c>
      <c r="H163" t="str">
        <f t="shared" si="10"/>
        <v>Luna Nueva</v>
      </c>
      <c r="J163">
        <f t="shared" si="9"/>
        <v>3</v>
      </c>
      <c r="K163" t="str">
        <f t="shared" si="12"/>
        <v>Miércoles</v>
      </c>
      <c r="L163" s="39">
        <f t="shared" si="13"/>
        <v>10</v>
      </c>
    </row>
    <row r="164" spans="2:12">
      <c r="B164" s="105" t="s">
        <v>297</v>
      </c>
      <c r="C164" s="39" t="s">
        <v>310</v>
      </c>
      <c r="D164" s="105" t="s">
        <v>288</v>
      </c>
      <c r="E164" s="39" t="s">
        <v>310</v>
      </c>
      <c r="F164" s="107" t="str">
        <f t="shared" si="8"/>
        <v>11/04/2024</v>
      </c>
      <c r="G164" s="92">
        <f t="shared" si="11"/>
        <v>1</v>
      </c>
      <c r="H164" t="str">
        <f t="shared" si="10"/>
        <v>Luna Nueva</v>
      </c>
      <c r="J164">
        <f t="shared" si="9"/>
        <v>4</v>
      </c>
      <c r="K164" t="str">
        <f t="shared" si="12"/>
        <v>Jueves</v>
      </c>
      <c r="L164" s="39">
        <f t="shared" si="13"/>
        <v>11</v>
      </c>
    </row>
    <row r="165" spans="2:12">
      <c r="B165" s="105" t="s">
        <v>298</v>
      </c>
      <c r="C165" s="39" t="s">
        <v>310</v>
      </c>
      <c r="D165" s="105" t="s">
        <v>288</v>
      </c>
      <c r="E165" s="39" t="s">
        <v>310</v>
      </c>
      <c r="F165" s="107" t="str">
        <f t="shared" si="8"/>
        <v>12/04/2024</v>
      </c>
      <c r="G165" s="92">
        <f t="shared" si="11"/>
        <v>2</v>
      </c>
      <c r="H165" t="str">
        <f t="shared" si="10"/>
        <v>Luna Nueva</v>
      </c>
      <c r="J165">
        <f t="shared" si="9"/>
        <v>5</v>
      </c>
      <c r="K165" t="str">
        <f t="shared" si="12"/>
        <v>Viernes</v>
      </c>
      <c r="L165" s="39">
        <f t="shared" si="13"/>
        <v>12</v>
      </c>
    </row>
    <row r="166" spans="2:12">
      <c r="B166" s="105" t="s">
        <v>311</v>
      </c>
      <c r="C166" s="39" t="s">
        <v>310</v>
      </c>
      <c r="D166" s="105" t="s">
        <v>288</v>
      </c>
      <c r="E166" s="39" t="s">
        <v>310</v>
      </c>
      <c r="F166" s="107" t="str">
        <f t="shared" si="8"/>
        <v>13/04/2024</v>
      </c>
      <c r="G166" s="92">
        <f t="shared" si="11"/>
        <v>3</v>
      </c>
      <c r="H166" t="str">
        <f t="shared" si="10"/>
        <v>Luna Nueva</v>
      </c>
      <c r="J166">
        <f t="shared" si="9"/>
        <v>6</v>
      </c>
      <c r="K166" t="str">
        <f t="shared" si="12"/>
        <v>Sábado</v>
      </c>
      <c r="L166" s="39">
        <f t="shared" si="13"/>
        <v>13</v>
      </c>
    </row>
    <row r="167" spans="2:12">
      <c r="B167" s="105" t="s">
        <v>312</v>
      </c>
      <c r="C167" s="39" t="s">
        <v>310</v>
      </c>
      <c r="D167" s="105" t="s">
        <v>288</v>
      </c>
      <c r="E167" s="39" t="s">
        <v>310</v>
      </c>
      <c r="F167" s="107" t="str">
        <f t="shared" si="8"/>
        <v>14/04/2024</v>
      </c>
      <c r="G167" s="92">
        <f t="shared" si="11"/>
        <v>4</v>
      </c>
      <c r="H167" t="str">
        <f t="shared" si="10"/>
        <v>Luna Nueva</v>
      </c>
      <c r="J167">
        <f t="shared" si="9"/>
        <v>0</v>
      </c>
      <c r="K167" t="str">
        <f t="shared" si="12"/>
        <v>Domingo</v>
      </c>
      <c r="L167" s="39">
        <f t="shared" si="13"/>
        <v>14</v>
      </c>
    </row>
    <row r="168" spans="2:12">
      <c r="B168" s="105" t="s">
        <v>313</v>
      </c>
      <c r="C168" s="39" t="s">
        <v>310</v>
      </c>
      <c r="D168" s="105" t="s">
        <v>288</v>
      </c>
      <c r="E168" s="39" t="s">
        <v>310</v>
      </c>
      <c r="F168" s="107" t="str">
        <f t="shared" si="8"/>
        <v>15/04/2024</v>
      </c>
      <c r="G168" s="92">
        <f t="shared" si="11"/>
        <v>5</v>
      </c>
      <c r="H168" t="str">
        <f t="shared" si="10"/>
        <v>Luna Nueva</v>
      </c>
      <c r="J168">
        <f t="shared" si="9"/>
        <v>1</v>
      </c>
      <c r="K168" t="str">
        <f t="shared" si="12"/>
        <v>Lunes</v>
      </c>
      <c r="L168" s="39">
        <f t="shared" si="13"/>
        <v>15</v>
      </c>
    </row>
    <row r="169" spans="2:12">
      <c r="B169" s="105" t="s">
        <v>314</v>
      </c>
      <c r="C169" s="39" t="s">
        <v>310</v>
      </c>
      <c r="D169" s="105" t="s">
        <v>288</v>
      </c>
      <c r="E169" s="39" t="s">
        <v>310</v>
      </c>
      <c r="F169" s="107" t="str">
        <f t="shared" si="8"/>
        <v>16/04/2024</v>
      </c>
      <c r="G169" s="92">
        <f t="shared" si="11"/>
        <v>6</v>
      </c>
      <c r="H169" t="str">
        <f t="shared" si="10"/>
        <v>Cuarto Creciente</v>
      </c>
      <c r="J169">
        <f t="shared" si="9"/>
        <v>2</v>
      </c>
      <c r="K169" t="str">
        <f t="shared" si="12"/>
        <v>Martes</v>
      </c>
      <c r="L169" s="39">
        <f t="shared" si="13"/>
        <v>16</v>
      </c>
    </row>
    <row r="170" spans="2:12">
      <c r="B170" s="105" t="s">
        <v>315</v>
      </c>
      <c r="C170" s="39" t="s">
        <v>310</v>
      </c>
      <c r="D170" s="105" t="s">
        <v>288</v>
      </c>
      <c r="E170" s="39" t="s">
        <v>310</v>
      </c>
      <c r="F170" s="107" t="str">
        <f t="shared" si="8"/>
        <v>17/04/2024</v>
      </c>
      <c r="G170" s="92">
        <f t="shared" si="11"/>
        <v>7</v>
      </c>
      <c r="H170" t="str">
        <f t="shared" si="10"/>
        <v>Cuarto Creciente</v>
      </c>
      <c r="J170">
        <f t="shared" si="9"/>
        <v>3</v>
      </c>
      <c r="K170" t="str">
        <f t="shared" si="12"/>
        <v>Miércoles</v>
      </c>
      <c r="L170" s="39">
        <f t="shared" si="13"/>
        <v>17</v>
      </c>
    </row>
    <row r="171" spans="2:12">
      <c r="B171" s="105" t="s">
        <v>316</v>
      </c>
      <c r="C171" s="39" t="s">
        <v>310</v>
      </c>
      <c r="D171" s="105" t="s">
        <v>288</v>
      </c>
      <c r="E171" s="39" t="s">
        <v>310</v>
      </c>
      <c r="F171" s="107" t="str">
        <f t="shared" si="8"/>
        <v>18/04/2024</v>
      </c>
      <c r="G171" s="92">
        <f t="shared" si="11"/>
        <v>8</v>
      </c>
      <c r="H171" t="str">
        <f t="shared" si="10"/>
        <v>Cuarto Creciente</v>
      </c>
      <c r="J171">
        <f t="shared" si="9"/>
        <v>4</v>
      </c>
      <c r="K171" t="str">
        <f t="shared" si="12"/>
        <v>Jueves</v>
      </c>
      <c r="L171" s="39">
        <f t="shared" si="13"/>
        <v>18</v>
      </c>
    </row>
    <row r="172" spans="2:12">
      <c r="B172" s="105" t="s">
        <v>317</v>
      </c>
      <c r="C172" s="39" t="s">
        <v>310</v>
      </c>
      <c r="D172" s="105" t="s">
        <v>288</v>
      </c>
      <c r="E172" s="39" t="s">
        <v>310</v>
      </c>
      <c r="F172" s="107" t="str">
        <f t="shared" si="8"/>
        <v>19/04/2024</v>
      </c>
      <c r="G172" s="92">
        <f t="shared" si="11"/>
        <v>9</v>
      </c>
      <c r="H172" t="str">
        <f t="shared" si="10"/>
        <v>Cuarto Creciente</v>
      </c>
      <c r="J172">
        <f t="shared" si="9"/>
        <v>5</v>
      </c>
      <c r="K172" t="str">
        <f t="shared" si="12"/>
        <v>Viernes</v>
      </c>
      <c r="L172" s="39">
        <f t="shared" si="13"/>
        <v>19</v>
      </c>
    </row>
    <row r="173" spans="2:12">
      <c r="B173" s="105" t="s">
        <v>318</v>
      </c>
      <c r="C173" s="39" t="s">
        <v>310</v>
      </c>
      <c r="D173" s="105" t="s">
        <v>288</v>
      </c>
      <c r="E173" s="39" t="s">
        <v>310</v>
      </c>
      <c r="F173" s="107" t="str">
        <f t="shared" si="8"/>
        <v>20/04/2024</v>
      </c>
      <c r="G173" s="92">
        <f t="shared" si="11"/>
        <v>10</v>
      </c>
      <c r="H173" t="str">
        <f t="shared" si="10"/>
        <v>Cuarto Creciente</v>
      </c>
      <c r="J173">
        <f t="shared" si="9"/>
        <v>6</v>
      </c>
      <c r="K173" t="str">
        <f t="shared" si="12"/>
        <v>Sábado</v>
      </c>
      <c r="L173" s="39">
        <f t="shared" si="13"/>
        <v>20</v>
      </c>
    </row>
    <row r="174" spans="2:12">
      <c r="B174" s="105" t="s">
        <v>319</v>
      </c>
      <c r="C174" s="39" t="s">
        <v>310</v>
      </c>
      <c r="D174" s="105" t="s">
        <v>288</v>
      </c>
      <c r="E174" s="39" t="s">
        <v>310</v>
      </c>
      <c r="F174" s="107" t="str">
        <f t="shared" si="8"/>
        <v>21/04/2024</v>
      </c>
      <c r="G174" s="92">
        <f t="shared" si="11"/>
        <v>11</v>
      </c>
      <c r="H174" t="str">
        <f t="shared" si="10"/>
        <v>Cuarto Creciente</v>
      </c>
      <c r="J174">
        <f t="shared" si="9"/>
        <v>0</v>
      </c>
      <c r="K174" t="str">
        <f t="shared" si="12"/>
        <v>Domingo</v>
      </c>
      <c r="L174" s="39">
        <f t="shared" si="13"/>
        <v>21</v>
      </c>
    </row>
    <row r="175" spans="2:12">
      <c r="B175" s="105" t="s">
        <v>320</v>
      </c>
      <c r="C175" s="39" t="s">
        <v>310</v>
      </c>
      <c r="D175" s="105" t="s">
        <v>288</v>
      </c>
      <c r="E175" s="39" t="s">
        <v>310</v>
      </c>
      <c r="F175" s="107" t="str">
        <f t="shared" si="8"/>
        <v>22/04/2024</v>
      </c>
      <c r="G175" s="92">
        <f t="shared" si="11"/>
        <v>12</v>
      </c>
      <c r="H175" t="str">
        <f t="shared" si="10"/>
        <v>Cuarto Creciente</v>
      </c>
      <c r="J175">
        <f t="shared" si="9"/>
        <v>1</v>
      </c>
      <c r="K175" t="str">
        <f t="shared" si="12"/>
        <v>Lunes</v>
      </c>
      <c r="L175" s="39">
        <f t="shared" si="13"/>
        <v>22</v>
      </c>
    </row>
    <row r="176" spans="2:12">
      <c r="B176" s="105" t="s">
        <v>321</v>
      </c>
      <c r="C176" s="39" t="s">
        <v>310</v>
      </c>
      <c r="D176" s="105" t="s">
        <v>288</v>
      </c>
      <c r="E176" s="39" t="s">
        <v>310</v>
      </c>
      <c r="F176" s="107" t="str">
        <f t="shared" si="8"/>
        <v>23/04/2024</v>
      </c>
      <c r="G176" s="92">
        <f t="shared" si="11"/>
        <v>13</v>
      </c>
      <c r="H176" t="str">
        <f t="shared" si="10"/>
        <v>Cuarto Creciente</v>
      </c>
      <c r="J176">
        <f t="shared" si="9"/>
        <v>2</v>
      </c>
      <c r="K176" t="str">
        <f t="shared" si="12"/>
        <v>Martes</v>
      </c>
      <c r="L176" s="39">
        <f t="shared" si="13"/>
        <v>23</v>
      </c>
    </row>
    <row r="177" spans="2:12">
      <c r="B177" s="105" t="s">
        <v>322</v>
      </c>
      <c r="C177" s="39" t="s">
        <v>310</v>
      </c>
      <c r="D177" s="105" t="s">
        <v>288</v>
      </c>
      <c r="E177" s="39" t="s">
        <v>310</v>
      </c>
      <c r="F177" s="107" t="str">
        <f t="shared" si="8"/>
        <v>24/04/2024</v>
      </c>
      <c r="G177" s="92">
        <f t="shared" si="11"/>
        <v>14</v>
      </c>
      <c r="H177" t="str">
        <f t="shared" si="10"/>
        <v>Luna Llena</v>
      </c>
      <c r="J177">
        <f t="shared" si="9"/>
        <v>3</v>
      </c>
      <c r="K177" t="str">
        <f t="shared" si="12"/>
        <v>Miércoles</v>
      </c>
      <c r="L177" s="39">
        <f t="shared" si="13"/>
        <v>24</v>
      </c>
    </row>
    <row r="178" spans="2:12">
      <c r="B178" s="105" t="s">
        <v>323</v>
      </c>
      <c r="C178" s="39" t="s">
        <v>310</v>
      </c>
      <c r="D178" s="105" t="s">
        <v>288</v>
      </c>
      <c r="E178" s="39" t="s">
        <v>310</v>
      </c>
      <c r="F178" s="107" t="str">
        <f t="shared" si="8"/>
        <v>25/04/2024</v>
      </c>
      <c r="G178" s="92">
        <f t="shared" si="11"/>
        <v>15</v>
      </c>
      <c r="H178" t="str">
        <f t="shared" si="10"/>
        <v>Luna Llena</v>
      </c>
      <c r="J178">
        <f t="shared" si="9"/>
        <v>4</v>
      </c>
      <c r="K178" t="str">
        <f t="shared" si="12"/>
        <v>Jueves</v>
      </c>
      <c r="L178" s="39">
        <f t="shared" si="13"/>
        <v>25</v>
      </c>
    </row>
    <row r="179" spans="2:12">
      <c r="B179" s="105" t="s">
        <v>324</v>
      </c>
      <c r="C179" s="39" t="s">
        <v>310</v>
      </c>
      <c r="D179" s="105" t="s">
        <v>288</v>
      </c>
      <c r="E179" s="39" t="s">
        <v>310</v>
      </c>
      <c r="F179" s="107" t="str">
        <f t="shared" si="8"/>
        <v>26/04/2024</v>
      </c>
      <c r="G179" s="92">
        <f t="shared" si="11"/>
        <v>16</v>
      </c>
      <c r="H179" t="str">
        <f t="shared" si="10"/>
        <v>Luna Llena</v>
      </c>
      <c r="J179">
        <f t="shared" si="9"/>
        <v>5</v>
      </c>
      <c r="K179" t="str">
        <f t="shared" si="12"/>
        <v>Viernes</v>
      </c>
      <c r="L179" s="39">
        <f t="shared" si="13"/>
        <v>26</v>
      </c>
    </row>
    <row r="180" spans="2:12">
      <c r="B180" s="105" t="s">
        <v>325</v>
      </c>
      <c r="C180" s="39" t="s">
        <v>310</v>
      </c>
      <c r="D180" s="105" t="s">
        <v>288</v>
      </c>
      <c r="E180" s="39" t="s">
        <v>310</v>
      </c>
      <c r="F180" s="107" t="str">
        <f t="shared" si="8"/>
        <v>27/04/2024</v>
      </c>
      <c r="G180" s="92">
        <f t="shared" si="11"/>
        <v>17</v>
      </c>
      <c r="H180" t="str">
        <f t="shared" si="10"/>
        <v>Luna Llena</v>
      </c>
      <c r="J180">
        <f t="shared" si="9"/>
        <v>6</v>
      </c>
      <c r="K180" t="str">
        <f t="shared" si="12"/>
        <v>Sábado</v>
      </c>
      <c r="L180" s="39">
        <f t="shared" si="13"/>
        <v>27</v>
      </c>
    </row>
    <row r="181" spans="2:12">
      <c r="B181" s="105" t="s">
        <v>326</v>
      </c>
      <c r="C181" s="39" t="s">
        <v>310</v>
      </c>
      <c r="D181" s="105" t="s">
        <v>288</v>
      </c>
      <c r="E181" s="39" t="s">
        <v>310</v>
      </c>
      <c r="F181" s="107" t="str">
        <f t="shared" si="8"/>
        <v>28/04/2024</v>
      </c>
      <c r="G181" s="92">
        <f t="shared" si="11"/>
        <v>18</v>
      </c>
      <c r="H181" t="str">
        <f t="shared" si="10"/>
        <v>Luna Llena</v>
      </c>
      <c r="J181">
        <f t="shared" si="9"/>
        <v>0</v>
      </c>
      <c r="K181" t="str">
        <f t="shared" si="12"/>
        <v>Domingo</v>
      </c>
      <c r="L181" s="39">
        <f t="shared" si="13"/>
        <v>28</v>
      </c>
    </row>
    <row r="182" spans="2:12">
      <c r="B182" s="105">
        <v>29</v>
      </c>
      <c r="C182" s="39" t="s">
        <v>310</v>
      </c>
      <c r="D182" s="105" t="s">
        <v>288</v>
      </c>
      <c r="E182" s="39" t="s">
        <v>310</v>
      </c>
      <c r="F182" s="107" t="str">
        <f t="shared" si="8"/>
        <v>29/04/2024</v>
      </c>
      <c r="G182" s="92">
        <f t="shared" si="11"/>
        <v>19</v>
      </c>
      <c r="H182" t="str">
        <f t="shared" si="10"/>
        <v>Luna Llena</v>
      </c>
      <c r="J182">
        <f t="shared" si="9"/>
        <v>1</v>
      </c>
      <c r="K182" t="str">
        <f t="shared" si="12"/>
        <v>Lunes</v>
      </c>
      <c r="L182" s="39">
        <f t="shared" si="13"/>
        <v>29</v>
      </c>
    </row>
    <row r="183" spans="2:12">
      <c r="B183" s="105">
        <v>30</v>
      </c>
      <c r="C183" s="39" t="s">
        <v>310</v>
      </c>
      <c r="D183" s="105" t="s">
        <v>288</v>
      </c>
      <c r="E183" s="39" t="s">
        <v>310</v>
      </c>
      <c r="F183" s="107" t="str">
        <f t="shared" si="8"/>
        <v>30/04/2024</v>
      </c>
      <c r="G183" s="92">
        <f t="shared" si="11"/>
        <v>20</v>
      </c>
      <c r="H183" t="str">
        <f t="shared" si="10"/>
        <v>Luna Llena</v>
      </c>
      <c r="J183">
        <f t="shared" si="9"/>
        <v>2</v>
      </c>
      <c r="K183" t="str">
        <f t="shared" si="12"/>
        <v>Martes</v>
      </c>
      <c r="L183" s="39">
        <f t="shared" si="13"/>
        <v>30</v>
      </c>
    </row>
    <row r="184" spans="2:12">
      <c r="B184" s="105" t="s">
        <v>284</v>
      </c>
      <c r="C184" s="39" t="s">
        <v>310</v>
      </c>
      <c r="D184" s="105" t="s">
        <v>290</v>
      </c>
      <c r="E184" s="39" t="s">
        <v>310</v>
      </c>
      <c r="F184" s="107" t="str">
        <f t="shared" si="8"/>
        <v>01/05/2024</v>
      </c>
      <c r="G184" s="92">
        <f t="shared" si="11"/>
        <v>22</v>
      </c>
      <c r="H184" t="str">
        <f t="shared" si="10"/>
        <v>Cuarto Menguante</v>
      </c>
      <c r="J184">
        <f t="shared" si="9"/>
        <v>3</v>
      </c>
      <c r="K184" t="str">
        <f t="shared" si="12"/>
        <v>Miércoles</v>
      </c>
      <c r="L184" s="39">
        <f t="shared" si="13"/>
        <v>1</v>
      </c>
    </row>
    <row r="185" spans="2:12">
      <c r="B185" s="105" t="s">
        <v>286</v>
      </c>
      <c r="C185" s="39" t="s">
        <v>310</v>
      </c>
      <c r="D185" s="105" t="s">
        <v>290</v>
      </c>
      <c r="E185" s="39" t="s">
        <v>310</v>
      </c>
      <c r="F185" s="107" t="str">
        <f t="shared" si="8"/>
        <v>02/05/2024</v>
      </c>
      <c r="G185" s="92">
        <f t="shared" si="11"/>
        <v>23</v>
      </c>
      <c r="H185" t="str">
        <f t="shared" si="10"/>
        <v>Cuarto Menguante</v>
      </c>
      <c r="J185">
        <f t="shared" si="9"/>
        <v>4</v>
      </c>
      <c r="K185" t="str">
        <f t="shared" si="12"/>
        <v>Jueves</v>
      </c>
      <c r="L185" s="39">
        <f t="shared" si="13"/>
        <v>2</v>
      </c>
    </row>
    <row r="186" spans="2:12">
      <c r="B186" s="105" t="s">
        <v>287</v>
      </c>
      <c r="C186" s="39" t="s">
        <v>310</v>
      </c>
      <c r="D186" s="105" t="s">
        <v>290</v>
      </c>
      <c r="E186" s="39" t="s">
        <v>310</v>
      </c>
      <c r="F186" s="107" t="str">
        <f t="shared" si="8"/>
        <v>03/05/2024</v>
      </c>
      <c r="G186" s="92">
        <f t="shared" si="11"/>
        <v>24</v>
      </c>
      <c r="H186" t="str">
        <f t="shared" si="10"/>
        <v>Cuarto Menguante</v>
      </c>
      <c r="J186">
        <f t="shared" si="9"/>
        <v>5</v>
      </c>
      <c r="K186" t="str">
        <f t="shared" si="12"/>
        <v>Viernes</v>
      </c>
      <c r="L186" s="39">
        <f t="shared" si="13"/>
        <v>3</v>
      </c>
    </row>
    <row r="187" spans="2:12">
      <c r="B187" s="105" t="s">
        <v>288</v>
      </c>
      <c r="C187" s="39" t="s">
        <v>310</v>
      </c>
      <c r="D187" s="105" t="s">
        <v>290</v>
      </c>
      <c r="E187" s="39" t="s">
        <v>310</v>
      </c>
      <c r="F187" s="107" t="str">
        <f t="shared" ref="F187:F250" si="14">CONCATENATE(B187,C187,D187,E187,$E$37)</f>
        <v>04/05/2024</v>
      </c>
      <c r="G187" s="92">
        <f t="shared" si="11"/>
        <v>25</v>
      </c>
      <c r="H187" t="str">
        <f t="shared" si="10"/>
        <v>Cuarto Menguante</v>
      </c>
      <c r="J187">
        <f t="shared" si="9"/>
        <v>6</v>
      </c>
      <c r="K187" t="str">
        <f t="shared" si="12"/>
        <v>Sábado</v>
      </c>
      <c r="L187" s="39">
        <f t="shared" si="13"/>
        <v>4</v>
      </c>
    </row>
    <row r="188" spans="2:12">
      <c r="B188" s="105" t="s">
        <v>290</v>
      </c>
      <c r="C188" s="39" t="s">
        <v>310</v>
      </c>
      <c r="D188" s="105" t="s">
        <v>290</v>
      </c>
      <c r="E188" s="39" t="s">
        <v>310</v>
      </c>
      <c r="F188" s="107" t="str">
        <f t="shared" si="14"/>
        <v>05/05/2024</v>
      </c>
      <c r="G188" s="92">
        <f t="shared" si="11"/>
        <v>26</v>
      </c>
      <c r="H188" t="str">
        <f t="shared" si="10"/>
        <v>Cuarto Menguante</v>
      </c>
      <c r="J188">
        <f t="shared" si="9"/>
        <v>0</v>
      </c>
      <c r="K188" t="str">
        <f t="shared" si="12"/>
        <v>Domingo</v>
      </c>
      <c r="L188" s="39">
        <f t="shared" si="13"/>
        <v>5</v>
      </c>
    </row>
    <row r="189" spans="2:12">
      <c r="B189" s="105" t="s">
        <v>291</v>
      </c>
      <c r="C189" s="39" t="s">
        <v>310</v>
      </c>
      <c r="D189" s="105" t="s">
        <v>290</v>
      </c>
      <c r="E189" s="39" t="s">
        <v>310</v>
      </c>
      <c r="F189" s="107" t="str">
        <f t="shared" si="14"/>
        <v>06/05/2024</v>
      </c>
      <c r="G189" s="92">
        <f t="shared" si="11"/>
        <v>27</v>
      </c>
      <c r="H189" t="str">
        <f t="shared" si="10"/>
        <v>Cuarto Menguante</v>
      </c>
      <c r="J189">
        <f t="shared" ref="J189:J252" si="15">IF(J188&lt;6,J188+1,0)</f>
        <v>1</v>
      </c>
      <c r="K189" t="str">
        <f t="shared" si="12"/>
        <v>Lunes</v>
      </c>
      <c r="L189" s="39">
        <f t="shared" si="13"/>
        <v>6</v>
      </c>
    </row>
    <row r="190" spans="2:12">
      <c r="B190" s="105" t="s">
        <v>292</v>
      </c>
      <c r="C190" s="39" t="s">
        <v>310</v>
      </c>
      <c r="D190" s="105" t="s">
        <v>290</v>
      </c>
      <c r="E190" s="39" t="s">
        <v>310</v>
      </c>
      <c r="F190" s="107" t="str">
        <f t="shared" si="14"/>
        <v>07/05/2024</v>
      </c>
      <c r="G190" s="92">
        <f t="shared" si="11"/>
        <v>28</v>
      </c>
      <c r="H190" t="str">
        <f t="shared" si="10"/>
        <v>Luna Nueva</v>
      </c>
      <c r="J190">
        <f t="shared" si="15"/>
        <v>2</v>
      </c>
      <c r="K190" t="str">
        <f t="shared" si="12"/>
        <v>Martes</v>
      </c>
      <c r="L190" s="39">
        <f t="shared" si="13"/>
        <v>7</v>
      </c>
    </row>
    <row r="191" spans="2:12">
      <c r="B191" s="105" t="s">
        <v>293</v>
      </c>
      <c r="C191" s="39" t="s">
        <v>310</v>
      </c>
      <c r="D191" s="105" t="s">
        <v>290</v>
      </c>
      <c r="E191" s="39" t="s">
        <v>310</v>
      </c>
      <c r="F191" s="107" t="str">
        <f t="shared" si="14"/>
        <v>08/05/2024</v>
      </c>
      <c r="G191" s="92">
        <f t="shared" si="11"/>
        <v>29</v>
      </c>
      <c r="H191" t="str">
        <f t="shared" ref="H191:H254" si="16">VLOOKUP(G191,$J$32:$K$61,2)</f>
        <v>Luna Nueva</v>
      </c>
      <c r="J191">
        <f t="shared" si="15"/>
        <v>3</v>
      </c>
      <c r="K191" t="str">
        <f t="shared" si="12"/>
        <v>Miércoles</v>
      </c>
      <c r="L191" s="39">
        <f t="shared" si="13"/>
        <v>8</v>
      </c>
    </row>
    <row r="192" spans="2:12">
      <c r="B192" s="105" t="s">
        <v>294</v>
      </c>
      <c r="C192" s="39" t="s">
        <v>310</v>
      </c>
      <c r="D192" s="105" t="s">
        <v>290</v>
      </c>
      <c r="E192" s="39" t="s">
        <v>310</v>
      </c>
      <c r="F192" s="107" t="str">
        <f t="shared" si="14"/>
        <v>09/05/2024</v>
      </c>
      <c r="G192" s="92">
        <f t="shared" ref="G192:G255" si="17">MOD($A$69+B192+VLOOKUP(MONTH(F192),$B$35:$D$46,3),30)</f>
        <v>0</v>
      </c>
      <c r="H192" t="str">
        <f t="shared" si="16"/>
        <v>Luna Nueva</v>
      </c>
      <c r="J192">
        <f t="shared" si="15"/>
        <v>4</v>
      </c>
      <c r="K192" t="str">
        <f t="shared" ref="K192:K255" si="18">VLOOKUP(J192,$H$45:$I$52,2)</f>
        <v>Jueves</v>
      </c>
      <c r="L192" s="39">
        <f t="shared" ref="L192:L255" si="19">VALUE(LEFT(F192,2))</f>
        <v>9</v>
      </c>
    </row>
    <row r="193" spans="2:12">
      <c r="B193" s="105" t="s">
        <v>295</v>
      </c>
      <c r="C193" s="39" t="s">
        <v>310</v>
      </c>
      <c r="D193" s="105" t="s">
        <v>290</v>
      </c>
      <c r="E193" s="39" t="s">
        <v>310</v>
      </c>
      <c r="F193" s="107" t="str">
        <f t="shared" si="14"/>
        <v>10/05/2024</v>
      </c>
      <c r="G193" s="92">
        <f t="shared" si="17"/>
        <v>1</v>
      </c>
      <c r="H193" t="str">
        <f t="shared" si="16"/>
        <v>Luna Nueva</v>
      </c>
      <c r="J193">
        <f t="shared" si="15"/>
        <v>5</v>
      </c>
      <c r="K193" t="str">
        <f t="shared" si="18"/>
        <v>Viernes</v>
      </c>
      <c r="L193" s="39">
        <f t="shared" si="19"/>
        <v>10</v>
      </c>
    </row>
    <row r="194" spans="2:12">
      <c r="B194" s="105" t="s">
        <v>297</v>
      </c>
      <c r="C194" s="39" t="s">
        <v>310</v>
      </c>
      <c r="D194" s="105" t="s">
        <v>290</v>
      </c>
      <c r="E194" s="39" t="s">
        <v>310</v>
      </c>
      <c r="F194" s="107" t="str">
        <f t="shared" si="14"/>
        <v>11/05/2024</v>
      </c>
      <c r="G194" s="92">
        <f t="shared" si="17"/>
        <v>2</v>
      </c>
      <c r="H194" t="str">
        <f t="shared" si="16"/>
        <v>Luna Nueva</v>
      </c>
      <c r="J194">
        <f t="shared" si="15"/>
        <v>6</v>
      </c>
      <c r="K194" t="str">
        <f t="shared" si="18"/>
        <v>Sábado</v>
      </c>
      <c r="L194" s="39">
        <f t="shared" si="19"/>
        <v>11</v>
      </c>
    </row>
    <row r="195" spans="2:12">
      <c r="B195" s="105" t="s">
        <v>298</v>
      </c>
      <c r="C195" s="39" t="s">
        <v>310</v>
      </c>
      <c r="D195" s="105" t="s">
        <v>290</v>
      </c>
      <c r="E195" s="39" t="s">
        <v>310</v>
      </c>
      <c r="F195" s="107" t="str">
        <f t="shared" si="14"/>
        <v>12/05/2024</v>
      </c>
      <c r="G195" s="92">
        <f t="shared" si="17"/>
        <v>3</v>
      </c>
      <c r="H195" t="str">
        <f t="shared" si="16"/>
        <v>Luna Nueva</v>
      </c>
      <c r="J195">
        <f t="shared" si="15"/>
        <v>0</v>
      </c>
      <c r="K195" t="str">
        <f t="shared" si="18"/>
        <v>Domingo</v>
      </c>
      <c r="L195" s="39">
        <f t="shared" si="19"/>
        <v>12</v>
      </c>
    </row>
    <row r="196" spans="2:12">
      <c r="B196" s="105" t="s">
        <v>311</v>
      </c>
      <c r="C196" s="39" t="s">
        <v>310</v>
      </c>
      <c r="D196" s="105" t="s">
        <v>290</v>
      </c>
      <c r="E196" s="39" t="s">
        <v>310</v>
      </c>
      <c r="F196" s="107" t="str">
        <f t="shared" si="14"/>
        <v>13/05/2024</v>
      </c>
      <c r="G196" s="92">
        <f t="shared" si="17"/>
        <v>4</v>
      </c>
      <c r="H196" t="str">
        <f t="shared" si="16"/>
        <v>Luna Nueva</v>
      </c>
      <c r="J196">
        <f t="shared" si="15"/>
        <v>1</v>
      </c>
      <c r="K196" t="str">
        <f t="shared" si="18"/>
        <v>Lunes</v>
      </c>
      <c r="L196" s="39">
        <f t="shared" si="19"/>
        <v>13</v>
      </c>
    </row>
    <row r="197" spans="2:12">
      <c r="B197" s="105" t="s">
        <v>312</v>
      </c>
      <c r="C197" s="39" t="s">
        <v>310</v>
      </c>
      <c r="D197" s="105" t="s">
        <v>290</v>
      </c>
      <c r="E197" s="39" t="s">
        <v>310</v>
      </c>
      <c r="F197" s="107" t="str">
        <f t="shared" si="14"/>
        <v>14/05/2024</v>
      </c>
      <c r="G197" s="92">
        <f t="shared" si="17"/>
        <v>5</v>
      </c>
      <c r="H197" t="str">
        <f t="shared" si="16"/>
        <v>Luna Nueva</v>
      </c>
      <c r="J197">
        <f t="shared" si="15"/>
        <v>2</v>
      </c>
      <c r="K197" t="str">
        <f t="shared" si="18"/>
        <v>Martes</v>
      </c>
      <c r="L197" s="39">
        <f t="shared" si="19"/>
        <v>14</v>
      </c>
    </row>
    <row r="198" spans="2:12">
      <c r="B198" s="105" t="s">
        <v>313</v>
      </c>
      <c r="C198" s="39" t="s">
        <v>310</v>
      </c>
      <c r="D198" s="105" t="s">
        <v>290</v>
      </c>
      <c r="E198" s="39" t="s">
        <v>310</v>
      </c>
      <c r="F198" s="107" t="str">
        <f t="shared" si="14"/>
        <v>15/05/2024</v>
      </c>
      <c r="G198" s="92">
        <f t="shared" si="17"/>
        <v>6</v>
      </c>
      <c r="H198" t="str">
        <f t="shared" si="16"/>
        <v>Cuarto Creciente</v>
      </c>
      <c r="J198">
        <f t="shared" si="15"/>
        <v>3</v>
      </c>
      <c r="K198" t="str">
        <f t="shared" si="18"/>
        <v>Miércoles</v>
      </c>
      <c r="L198" s="39">
        <f t="shared" si="19"/>
        <v>15</v>
      </c>
    </row>
    <row r="199" spans="2:12">
      <c r="B199" s="105" t="s">
        <v>314</v>
      </c>
      <c r="C199" s="39" t="s">
        <v>310</v>
      </c>
      <c r="D199" s="105" t="s">
        <v>290</v>
      </c>
      <c r="E199" s="39" t="s">
        <v>310</v>
      </c>
      <c r="F199" s="107" t="str">
        <f t="shared" si="14"/>
        <v>16/05/2024</v>
      </c>
      <c r="G199" s="92">
        <f t="shared" si="17"/>
        <v>7</v>
      </c>
      <c r="H199" t="str">
        <f t="shared" si="16"/>
        <v>Cuarto Creciente</v>
      </c>
      <c r="J199">
        <f t="shared" si="15"/>
        <v>4</v>
      </c>
      <c r="K199" t="str">
        <f t="shared" si="18"/>
        <v>Jueves</v>
      </c>
      <c r="L199" s="39">
        <f t="shared" si="19"/>
        <v>16</v>
      </c>
    </row>
    <row r="200" spans="2:12">
      <c r="B200" s="105" t="s">
        <v>315</v>
      </c>
      <c r="C200" s="39" t="s">
        <v>310</v>
      </c>
      <c r="D200" s="105" t="s">
        <v>290</v>
      </c>
      <c r="E200" s="39" t="s">
        <v>310</v>
      </c>
      <c r="F200" s="107" t="str">
        <f t="shared" si="14"/>
        <v>17/05/2024</v>
      </c>
      <c r="G200" s="92">
        <f t="shared" si="17"/>
        <v>8</v>
      </c>
      <c r="H200" t="str">
        <f t="shared" si="16"/>
        <v>Cuarto Creciente</v>
      </c>
      <c r="J200">
        <f t="shared" si="15"/>
        <v>5</v>
      </c>
      <c r="K200" t="str">
        <f t="shared" si="18"/>
        <v>Viernes</v>
      </c>
      <c r="L200" s="39">
        <f t="shared" si="19"/>
        <v>17</v>
      </c>
    </row>
    <row r="201" spans="2:12">
      <c r="B201" s="105" t="s">
        <v>316</v>
      </c>
      <c r="C201" s="39" t="s">
        <v>310</v>
      </c>
      <c r="D201" s="105" t="s">
        <v>290</v>
      </c>
      <c r="E201" s="39" t="s">
        <v>310</v>
      </c>
      <c r="F201" s="107" t="str">
        <f t="shared" si="14"/>
        <v>18/05/2024</v>
      </c>
      <c r="G201" s="92">
        <f t="shared" si="17"/>
        <v>9</v>
      </c>
      <c r="H201" t="str">
        <f t="shared" si="16"/>
        <v>Cuarto Creciente</v>
      </c>
      <c r="J201">
        <f t="shared" si="15"/>
        <v>6</v>
      </c>
      <c r="K201" t="str">
        <f t="shared" si="18"/>
        <v>Sábado</v>
      </c>
      <c r="L201" s="39">
        <f t="shared" si="19"/>
        <v>18</v>
      </c>
    </row>
    <row r="202" spans="2:12">
      <c r="B202" s="105" t="s">
        <v>317</v>
      </c>
      <c r="C202" s="39" t="s">
        <v>310</v>
      </c>
      <c r="D202" s="105" t="s">
        <v>290</v>
      </c>
      <c r="E202" s="39" t="s">
        <v>310</v>
      </c>
      <c r="F202" s="107" t="str">
        <f t="shared" si="14"/>
        <v>19/05/2024</v>
      </c>
      <c r="G202" s="92">
        <f t="shared" si="17"/>
        <v>10</v>
      </c>
      <c r="H202" t="str">
        <f t="shared" si="16"/>
        <v>Cuarto Creciente</v>
      </c>
      <c r="J202">
        <f t="shared" si="15"/>
        <v>0</v>
      </c>
      <c r="K202" t="str">
        <f t="shared" si="18"/>
        <v>Domingo</v>
      </c>
      <c r="L202" s="39">
        <f t="shared" si="19"/>
        <v>19</v>
      </c>
    </row>
    <row r="203" spans="2:12">
      <c r="B203" s="105" t="s">
        <v>318</v>
      </c>
      <c r="C203" s="39" t="s">
        <v>310</v>
      </c>
      <c r="D203" s="105" t="s">
        <v>290</v>
      </c>
      <c r="E203" s="39" t="s">
        <v>310</v>
      </c>
      <c r="F203" s="107" t="str">
        <f t="shared" si="14"/>
        <v>20/05/2024</v>
      </c>
      <c r="G203" s="92">
        <f t="shared" si="17"/>
        <v>11</v>
      </c>
      <c r="H203" t="str">
        <f t="shared" si="16"/>
        <v>Cuarto Creciente</v>
      </c>
      <c r="J203">
        <f t="shared" si="15"/>
        <v>1</v>
      </c>
      <c r="K203" t="str">
        <f t="shared" si="18"/>
        <v>Lunes</v>
      </c>
      <c r="L203" s="39">
        <f t="shared" si="19"/>
        <v>20</v>
      </c>
    </row>
    <row r="204" spans="2:12">
      <c r="B204" s="105" t="s">
        <v>319</v>
      </c>
      <c r="C204" s="39" t="s">
        <v>310</v>
      </c>
      <c r="D204" s="105" t="s">
        <v>290</v>
      </c>
      <c r="E204" s="39" t="s">
        <v>310</v>
      </c>
      <c r="F204" s="107" t="str">
        <f t="shared" si="14"/>
        <v>21/05/2024</v>
      </c>
      <c r="G204" s="92">
        <f t="shared" si="17"/>
        <v>12</v>
      </c>
      <c r="H204" t="str">
        <f t="shared" si="16"/>
        <v>Cuarto Creciente</v>
      </c>
      <c r="J204">
        <f t="shared" si="15"/>
        <v>2</v>
      </c>
      <c r="K204" t="str">
        <f t="shared" si="18"/>
        <v>Martes</v>
      </c>
      <c r="L204" s="39">
        <f t="shared" si="19"/>
        <v>21</v>
      </c>
    </row>
    <row r="205" spans="2:12">
      <c r="B205" s="105" t="s">
        <v>320</v>
      </c>
      <c r="C205" s="39" t="s">
        <v>310</v>
      </c>
      <c r="D205" s="105" t="s">
        <v>290</v>
      </c>
      <c r="E205" s="39" t="s">
        <v>310</v>
      </c>
      <c r="F205" s="107" t="str">
        <f t="shared" si="14"/>
        <v>22/05/2024</v>
      </c>
      <c r="G205" s="92">
        <f t="shared" si="17"/>
        <v>13</v>
      </c>
      <c r="H205" t="str">
        <f t="shared" si="16"/>
        <v>Cuarto Creciente</v>
      </c>
      <c r="J205">
        <f t="shared" si="15"/>
        <v>3</v>
      </c>
      <c r="K205" t="str">
        <f t="shared" si="18"/>
        <v>Miércoles</v>
      </c>
      <c r="L205" s="39">
        <f t="shared" si="19"/>
        <v>22</v>
      </c>
    </row>
    <row r="206" spans="2:12">
      <c r="B206" s="105" t="s">
        <v>321</v>
      </c>
      <c r="C206" s="39" t="s">
        <v>310</v>
      </c>
      <c r="D206" s="105" t="s">
        <v>290</v>
      </c>
      <c r="E206" s="39" t="s">
        <v>310</v>
      </c>
      <c r="F206" s="107" t="str">
        <f t="shared" si="14"/>
        <v>23/05/2024</v>
      </c>
      <c r="G206" s="92">
        <f t="shared" si="17"/>
        <v>14</v>
      </c>
      <c r="H206" t="str">
        <f t="shared" si="16"/>
        <v>Luna Llena</v>
      </c>
      <c r="J206">
        <f t="shared" si="15"/>
        <v>4</v>
      </c>
      <c r="K206" t="str">
        <f t="shared" si="18"/>
        <v>Jueves</v>
      </c>
      <c r="L206" s="39">
        <f t="shared" si="19"/>
        <v>23</v>
      </c>
    </row>
    <row r="207" spans="2:12">
      <c r="B207" s="105" t="s">
        <v>322</v>
      </c>
      <c r="C207" s="39" t="s">
        <v>310</v>
      </c>
      <c r="D207" s="105" t="s">
        <v>290</v>
      </c>
      <c r="E207" s="39" t="s">
        <v>310</v>
      </c>
      <c r="F207" s="107" t="str">
        <f t="shared" si="14"/>
        <v>24/05/2024</v>
      </c>
      <c r="G207" s="92">
        <f t="shared" si="17"/>
        <v>15</v>
      </c>
      <c r="H207" t="str">
        <f t="shared" si="16"/>
        <v>Luna Llena</v>
      </c>
      <c r="J207">
        <f t="shared" si="15"/>
        <v>5</v>
      </c>
      <c r="K207" t="str">
        <f t="shared" si="18"/>
        <v>Viernes</v>
      </c>
      <c r="L207" s="39">
        <f t="shared" si="19"/>
        <v>24</v>
      </c>
    </row>
    <row r="208" spans="2:12">
      <c r="B208" s="105" t="s">
        <v>323</v>
      </c>
      <c r="C208" s="39" t="s">
        <v>310</v>
      </c>
      <c r="D208" s="105" t="s">
        <v>290</v>
      </c>
      <c r="E208" s="39" t="s">
        <v>310</v>
      </c>
      <c r="F208" s="107" t="str">
        <f t="shared" si="14"/>
        <v>25/05/2024</v>
      </c>
      <c r="G208" s="92">
        <f t="shared" si="17"/>
        <v>16</v>
      </c>
      <c r="H208" t="str">
        <f t="shared" si="16"/>
        <v>Luna Llena</v>
      </c>
      <c r="J208">
        <f t="shared" si="15"/>
        <v>6</v>
      </c>
      <c r="K208" t="str">
        <f t="shared" si="18"/>
        <v>Sábado</v>
      </c>
      <c r="L208" s="39">
        <f t="shared" si="19"/>
        <v>25</v>
      </c>
    </row>
    <row r="209" spans="2:12">
      <c r="B209" s="105" t="s">
        <v>324</v>
      </c>
      <c r="C209" s="39" t="s">
        <v>310</v>
      </c>
      <c r="D209" s="105" t="s">
        <v>290</v>
      </c>
      <c r="E209" s="39" t="s">
        <v>310</v>
      </c>
      <c r="F209" s="107" t="str">
        <f t="shared" si="14"/>
        <v>26/05/2024</v>
      </c>
      <c r="G209" s="92">
        <f t="shared" si="17"/>
        <v>17</v>
      </c>
      <c r="H209" t="str">
        <f t="shared" si="16"/>
        <v>Luna Llena</v>
      </c>
      <c r="J209">
        <f t="shared" si="15"/>
        <v>0</v>
      </c>
      <c r="K209" t="str">
        <f t="shared" si="18"/>
        <v>Domingo</v>
      </c>
      <c r="L209" s="39">
        <f t="shared" si="19"/>
        <v>26</v>
      </c>
    </row>
    <row r="210" spans="2:12">
      <c r="B210" s="105" t="s">
        <v>325</v>
      </c>
      <c r="C210" s="39" t="s">
        <v>310</v>
      </c>
      <c r="D210" s="105" t="s">
        <v>290</v>
      </c>
      <c r="E210" s="39" t="s">
        <v>310</v>
      </c>
      <c r="F210" s="107" t="str">
        <f t="shared" si="14"/>
        <v>27/05/2024</v>
      </c>
      <c r="G210" s="92">
        <f t="shared" si="17"/>
        <v>18</v>
      </c>
      <c r="H210" t="str">
        <f t="shared" si="16"/>
        <v>Luna Llena</v>
      </c>
      <c r="J210">
        <f t="shared" si="15"/>
        <v>1</v>
      </c>
      <c r="K210" t="str">
        <f t="shared" si="18"/>
        <v>Lunes</v>
      </c>
      <c r="L210" s="39">
        <f t="shared" si="19"/>
        <v>27</v>
      </c>
    </row>
    <row r="211" spans="2:12">
      <c r="B211" s="105" t="s">
        <v>326</v>
      </c>
      <c r="C211" s="39" t="s">
        <v>310</v>
      </c>
      <c r="D211" s="105" t="s">
        <v>290</v>
      </c>
      <c r="E211" s="39" t="s">
        <v>310</v>
      </c>
      <c r="F211" s="107" t="str">
        <f t="shared" si="14"/>
        <v>28/05/2024</v>
      </c>
      <c r="G211" s="92">
        <f t="shared" si="17"/>
        <v>19</v>
      </c>
      <c r="H211" t="str">
        <f t="shared" si="16"/>
        <v>Luna Llena</v>
      </c>
      <c r="J211">
        <f t="shared" si="15"/>
        <v>2</v>
      </c>
      <c r="K211" t="str">
        <f t="shared" si="18"/>
        <v>Martes</v>
      </c>
      <c r="L211" s="39">
        <f t="shared" si="19"/>
        <v>28</v>
      </c>
    </row>
    <row r="212" spans="2:12">
      <c r="B212" s="105">
        <v>29</v>
      </c>
      <c r="C212" s="39" t="s">
        <v>310</v>
      </c>
      <c r="D212" s="105" t="s">
        <v>290</v>
      </c>
      <c r="E212" s="39" t="s">
        <v>310</v>
      </c>
      <c r="F212" s="107" t="str">
        <f t="shared" si="14"/>
        <v>29/05/2024</v>
      </c>
      <c r="G212" s="92">
        <f t="shared" si="17"/>
        <v>20</v>
      </c>
      <c r="H212" t="str">
        <f t="shared" si="16"/>
        <v>Luna Llena</v>
      </c>
      <c r="J212">
        <f t="shared" si="15"/>
        <v>3</v>
      </c>
      <c r="K212" t="str">
        <f t="shared" si="18"/>
        <v>Miércoles</v>
      </c>
      <c r="L212" s="39">
        <f t="shared" si="19"/>
        <v>29</v>
      </c>
    </row>
    <row r="213" spans="2:12">
      <c r="B213" s="105">
        <v>30</v>
      </c>
      <c r="C213" s="39" t="s">
        <v>310</v>
      </c>
      <c r="D213" s="105" t="s">
        <v>290</v>
      </c>
      <c r="E213" s="39" t="s">
        <v>310</v>
      </c>
      <c r="F213" s="107" t="str">
        <f t="shared" si="14"/>
        <v>30/05/2024</v>
      </c>
      <c r="G213" s="92">
        <f t="shared" si="17"/>
        <v>21</v>
      </c>
      <c r="H213" t="str">
        <f t="shared" si="16"/>
        <v>Cuarto Menguante</v>
      </c>
      <c r="J213">
        <f t="shared" si="15"/>
        <v>4</v>
      </c>
      <c r="K213" t="str">
        <f t="shared" si="18"/>
        <v>Jueves</v>
      </c>
      <c r="L213" s="39">
        <f t="shared" si="19"/>
        <v>30</v>
      </c>
    </row>
    <row r="214" spans="2:12">
      <c r="B214" s="105">
        <v>31</v>
      </c>
      <c r="C214" s="39" t="s">
        <v>310</v>
      </c>
      <c r="D214" s="105" t="s">
        <v>290</v>
      </c>
      <c r="E214" s="39" t="s">
        <v>310</v>
      </c>
      <c r="F214" s="107" t="str">
        <f t="shared" si="14"/>
        <v>31/05/2024</v>
      </c>
      <c r="G214" s="92">
        <f t="shared" si="17"/>
        <v>22</v>
      </c>
      <c r="H214" t="str">
        <f t="shared" si="16"/>
        <v>Cuarto Menguante</v>
      </c>
      <c r="J214">
        <f t="shared" si="15"/>
        <v>5</v>
      </c>
      <c r="K214" t="str">
        <f t="shared" si="18"/>
        <v>Viernes</v>
      </c>
      <c r="L214" s="39">
        <f t="shared" si="19"/>
        <v>31</v>
      </c>
    </row>
    <row r="215" spans="2:12">
      <c r="B215" s="105" t="s">
        <v>284</v>
      </c>
      <c r="C215" s="39" t="s">
        <v>310</v>
      </c>
      <c r="D215" s="105" t="s">
        <v>291</v>
      </c>
      <c r="E215" s="39" t="s">
        <v>310</v>
      </c>
      <c r="F215" s="107" t="str">
        <f t="shared" si="14"/>
        <v>01/06/2024</v>
      </c>
      <c r="G215" s="92">
        <f t="shared" si="17"/>
        <v>23</v>
      </c>
      <c r="H215" t="str">
        <f t="shared" si="16"/>
        <v>Cuarto Menguante</v>
      </c>
      <c r="J215">
        <f t="shared" si="15"/>
        <v>6</v>
      </c>
      <c r="K215" t="str">
        <f t="shared" si="18"/>
        <v>Sábado</v>
      </c>
      <c r="L215" s="39">
        <f t="shared" si="19"/>
        <v>1</v>
      </c>
    </row>
    <row r="216" spans="2:12">
      <c r="B216" s="105" t="s">
        <v>286</v>
      </c>
      <c r="C216" s="39" t="s">
        <v>310</v>
      </c>
      <c r="D216" s="105" t="s">
        <v>291</v>
      </c>
      <c r="E216" s="39" t="s">
        <v>310</v>
      </c>
      <c r="F216" s="107" t="str">
        <f t="shared" si="14"/>
        <v>02/06/2024</v>
      </c>
      <c r="G216" s="92">
        <f t="shared" si="17"/>
        <v>24</v>
      </c>
      <c r="H216" t="str">
        <f t="shared" si="16"/>
        <v>Cuarto Menguante</v>
      </c>
      <c r="J216">
        <f t="shared" si="15"/>
        <v>0</v>
      </c>
      <c r="K216" t="str">
        <f t="shared" si="18"/>
        <v>Domingo</v>
      </c>
      <c r="L216" s="39">
        <f t="shared" si="19"/>
        <v>2</v>
      </c>
    </row>
    <row r="217" spans="2:12">
      <c r="B217" s="105" t="s">
        <v>287</v>
      </c>
      <c r="C217" s="39" t="s">
        <v>310</v>
      </c>
      <c r="D217" s="105" t="s">
        <v>291</v>
      </c>
      <c r="E217" s="39" t="s">
        <v>310</v>
      </c>
      <c r="F217" s="107" t="str">
        <f t="shared" si="14"/>
        <v>03/06/2024</v>
      </c>
      <c r="G217" s="92">
        <f t="shared" si="17"/>
        <v>25</v>
      </c>
      <c r="H217" t="str">
        <f t="shared" si="16"/>
        <v>Cuarto Menguante</v>
      </c>
      <c r="J217">
        <f t="shared" si="15"/>
        <v>1</v>
      </c>
      <c r="K217" t="str">
        <f t="shared" si="18"/>
        <v>Lunes</v>
      </c>
      <c r="L217" s="39">
        <f t="shared" si="19"/>
        <v>3</v>
      </c>
    </row>
    <row r="218" spans="2:12">
      <c r="B218" s="105" t="s">
        <v>288</v>
      </c>
      <c r="C218" s="39" t="s">
        <v>310</v>
      </c>
      <c r="D218" s="105" t="s">
        <v>291</v>
      </c>
      <c r="E218" s="39" t="s">
        <v>310</v>
      </c>
      <c r="F218" s="107" t="str">
        <f t="shared" si="14"/>
        <v>04/06/2024</v>
      </c>
      <c r="G218" s="92">
        <f t="shared" si="17"/>
        <v>26</v>
      </c>
      <c r="H218" t="str">
        <f t="shared" si="16"/>
        <v>Cuarto Menguante</v>
      </c>
      <c r="J218">
        <f t="shared" si="15"/>
        <v>2</v>
      </c>
      <c r="K218" t="str">
        <f t="shared" si="18"/>
        <v>Martes</v>
      </c>
      <c r="L218" s="39">
        <f t="shared" si="19"/>
        <v>4</v>
      </c>
    </row>
    <row r="219" spans="2:12">
      <c r="B219" s="105" t="s">
        <v>290</v>
      </c>
      <c r="C219" s="39" t="s">
        <v>310</v>
      </c>
      <c r="D219" s="105" t="s">
        <v>291</v>
      </c>
      <c r="E219" s="39" t="s">
        <v>310</v>
      </c>
      <c r="F219" s="107" t="str">
        <f t="shared" si="14"/>
        <v>05/06/2024</v>
      </c>
      <c r="G219" s="92">
        <f t="shared" si="17"/>
        <v>27</v>
      </c>
      <c r="H219" t="str">
        <f t="shared" si="16"/>
        <v>Cuarto Menguante</v>
      </c>
      <c r="J219">
        <f t="shared" si="15"/>
        <v>3</v>
      </c>
      <c r="K219" t="str">
        <f t="shared" si="18"/>
        <v>Miércoles</v>
      </c>
      <c r="L219" s="39">
        <f t="shared" si="19"/>
        <v>5</v>
      </c>
    </row>
    <row r="220" spans="2:12">
      <c r="B220" s="105" t="s">
        <v>291</v>
      </c>
      <c r="C220" s="39" t="s">
        <v>310</v>
      </c>
      <c r="D220" s="105" t="s">
        <v>291</v>
      </c>
      <c r="E220" s="39" t="s">
        <v>310</v>
      </c>
      <c r="F220" s="107" t="str">
        <f t="shared" si="14"/>
        <v>06/06/2024</v>
      </c>
      <c r="G220" s="92">
        <f t="shared" si="17"/>
        <v>28</v>
      </c>
      <c r="H220" t="str">
        <f t="shared" si="16"/>
        <v>Luna Nueva</v>
      </c>
      <c r="J220">
        <f t="shared" si="15"/>
        <v>4</v>
      </c>
      <c r="K220" t="str">
        <f t="shared" si="18"/>
        <v>Jueves</v>
      </c>
      <c r="L220" s="39">
        <f t="shared" si="19"/>
        <v>6</v>
      </c>
    </row>
    <row r="221" spans="2:12">
      <c r="B221" s="105" t="s">
        <v>292</v>
      </c>
      <c r="C221" s="39" t="s">
        <v>310</v>
      </c>
      <c r="D221" s="105" t="s">
        <v>291</v>
      </c>
      <c r="E221" s="39" t="s">
        <v>310</v>
      </c>
      <c r="F221" s="107" t="str">
        <f t="shared" si="14"/>
        <v>07/06/2024</v>
      </c>
      <c r="G221" s="92">
        <f t="shared" si="17"/>
        <v>29</v>
      </c>
      <c r="H221" t="str">
        <f t="shared" si="16"/>
        <v>Luna Nueva</v>
      </c>
      <c r="J221">
        <f t="shared" si="15"/>
        <v>5</v>
      </c>
      <c r="K221" t="str">
        <f t="shared" si="18"/>
        <v>Viernes</v>
      </c>
      <c r="L221" s="39">
        <f t="shared" si="19"/>
        <v>7</v>
      </c>
    </row>
    <row r="222" spans="2:12">
      <c r="B222" s="105" t="s">
        <v>293</v>
      </c>
      <c r="C222" s="39" t="s">
        <v>310</v>
      </c>
      <c r="D222" s="105" t="s">
        <v>291</v>
      </c>
      <c r="E222" s="39" t="s">
        <v>310</v>
      </c>
      <c r="F222" s="107" t="str">
        <f t="shared" si="14"/>
        <v>08/06/2024</v>
      </c>
      <c r="G222" s="92">
        <f t="shared" si="17"/>
        <v>0</v>
      </c>
      <c r="H222" t="str">
        <f t="shared" si="16"/>
        <v>Luna Nueva</v>
      </c>
      <c r="J222">
        <f t="shared" si="15"/>
        <v>6</v>
      </c>
      <c r="K222" t="str">
        <f t="shared" si="18"/>
        <v>Sábado</v>
      </c>
      <c r="L222" s="39">
        <f t="shared" si="19"/>
        <v>8</v>
      </c>
    </row>
    <row r="223" spans="2:12">
      <c r="B223" s="105" t="s">
        <v>294</v>
      </c>
      <c r="C223" s="39" t="s">
        <v>310</v>
      </c>
      <c r="D223" s="105" t="s">
        <v>291</v>
      </c>
      <c r="E223" s="39" t="s">
        <v>310</v>
      </c>
      <c r="F223" s="107" t="str">
        <f t="shared" si="14"/>
        <v>09/06/2024</v>
      </c>
      <c r="G223" s="92">
        <f t="shared" si="17"/>
        <v>1</v>
      </c>
      <c r="H223" t="str">
        <f t="shared" si="16"/>
        <v>Luna Nueva</v>
      </c>
      <c r="J223">
        <f t="shared" si="15"/>
        <v>0</v>
      </c>
      <c r="K223" t="str">
        <f t="shared" si="18"/>
        <v>Domingo</v>
      </c>
      <c r="L223" s="39">
        <f t="shared" si="19"/>
        <v>9</v>
      </c>
    </row>
    <row r="224" spans="2:12">
      <c r="B224" s="105" t="s">
        <v>295</v>
      </c>
      <c r="C224" s="39" t="s">
        <v>310</v>
      </c>
      <c r="D224" s="105" t="s">
        <v>291</v>
      </c>
      <c r="E224" s="39" t="s">
        <v>310</v>
      </c>
      <c r="F224" s="107" t="str">
        <f t="shared" si="14"/>
        <v>10/06/2024</v>
      </c>
      <c r="G224" s="92">
        <f t="shared" si="17"/>
        <v>2</v>
      </c>
      <c r="H224" t="str">
        <f t="shared" si="16"/>
        <v>Luna Nueva</v>
      </c>
      <c r="J224">
        <f t="shared" si="15"/>
        <v>1</v>
      </c>
      <c r="K224" t="str">
        <f t="shared" si="18"/>
        <v>Lunes</v>
      </c>
      <c r="L224" s="39">
        <f t="shared" si="19"/>
        <v>10</v>
      </c>
    </row>
    <row r="225" spans="2:12">
      <c r="B225" s="105" t="s">
        <v>297</v>
      </c>
      <c r="C225" s="39" t="s">
        <v>310</v>
      </c>
      <c r="D225" s="105" t="s">
        <v>291</v>
      </c>
      <c r="E225" s="39" t="s">
        <v>310</v>
      </c>
      <c r="F225" s="107" t="str">
        <f t="shared" si="14"/>
        <v>11/06/2024</v>
      </c>
      <c r="G225" s="92">
        <f t="shared" si="17"/>
        <v>3</v>
      </c>
      <c r="H225" t="str">
        <f t="shared" si="16"/>
        <v>Luna Nueva</v>
      </c>
      <c r="J225">
        <f t="shared" si="15"/>
        <v>2</v>
      </c>
      <c r="K225" t="str">
        <f t="shared" si="18"/>
        <v>Martes</v>
      </c>
      <c r="L225" s="39">
        <f t="shared" si="19"/>
        <v>11</v>
      </c>
    </row>
    <row r="226" spans="2:12">
      <c r="B226" s="105" t="s">
        <v>298</v>
      </c>
      <c r="C226" s="39" t="s">
        <v>310</v>
      </c>
      <c r="D226" s="105" t="s">
        <v>291</v>
      </c>
      <c r="E226" s="39" t="s">
        <v>310</v>
      </c>
      <c r="F226" s="107" t="str">
        <f t="shared" si="14"/>
        <v>12/06/2024</v>
      </c>
      <c r="G226" s="92">
        <f t="shared" si="17"/>
        <v>4</v>
      </c>
      <c r="H226" t="str">
        <f t="shared" si="16"/>
        <v>Luna Nueva</v>
      </c>
      <c r="J226">
        <f t="shared" si="15"/>
        <v>3</v>
      </c>
      <c r="K226" t="str">
        <f t="shared" si="18"/>
        <v>Miércoles</v>
      </c>
      <c r="L226" s="39">
        <f t="shared" si="19"/>
        <v>12</v>
      </c>
    </row>
    <row r="227" spans="2:12">
      <c r="B227" s="105" t="s">
        <v>311</v>
      </c>
      <c r="C227" s="39" t="s">
        <v>310</v>
      </c>
      <c r="D227" s="105" t="s">
        <v>291</v>
      </c>
      <c r="E227" s="39" t="s">
        <v>310</v>
      </c>
      <c r="F227" s="107" t="str">
        <f t="shared" si="14"/>
        <v>13/06/2024</v>
      </c>
      <c r="G227" s="92">
        <f t="shared" si="17"/>
        <v>5</v>
      </c>
      <c r="H227" t="str">
        <f t="shared" si="16"/>
        <v>Luna Nueva</v>
      </c>
      <c r="J227">
        <f t="shared" si="15"/>
        <v>4</v>
      </c>
      <c r="K227" t="str">
        <f t="shared" si="18"/>
        <v>Jueves</v>
      </c>
      <c r="L227" s="39">
        <f t="shared" si="19"/>
        <v>13</v>
      </c>
    </row>
    <row r="228" spans="2:12">
      <c r="B228" s="105" t="s">
        <v>312</v>
      </c>
      <c r="C228" s="39" t="s">
        <v>310</v>
      </c>
      <c r="D228" s="105" t="s">
        <v>291</v>
      </c>
      <c r="E228" s="39" t="s">
        <v>310</v>
      </c>
      <c r="F228" s="107" t="str">
        <f t="shared" si="14"/>
        <v>14/06/2024</v>
      </c>
      <c r="G228" s="92">
        <f t="shared" si="17"/>
        <v>6</v>
      </c>
      <c r="H228" t="str">
        <f t="shared" si="16"/>
        <v>Cuarto Creciente</v>
      </c>
      <c r="J228">
        <f t="shared" si="15"/>
        <v>5</v>
      </c>
      <c r="K228" t="str">
        <f t="shared" si="18"/>
        <v>Viernes</v>
      </c>
      <c r="L228" s="39">
        <f t="shared" si="19"/>
        <v>14</v>
      </c>
    </row>
    <row r="229" spans="2:12">
      <c r="B229" s="105" t="s">
        <v>313</v>
      </c>
      <c r="C229" s="39" t="s">
        <v>310</v>
      </c>
      <c r="D229" s="105" t="s">
        <v>291</v>
      </c>
      <c r="E229" s="39" t="s">
        <v>310</v>
      </c>
      <c r="F229" s="107" t="str">
        <f t="shared" si="14"/>
        <v>15/06/2024</v>
      </c>
      <c r="G229" s="92">
        <f t="shared" si="17"/>
        <v>7</v>
      </c>
      <c r="H229" t="str">
        <f t="shared" si="16"/>
        <v>Cuarto Creciente</v>
      </c>
      <c r="J229">
        <f t="shared" si="15"/>
        <v>6</v>
      </c>
      <c r="K229" t="str">
        <f t="shared" si="18"/>
        <v>Sábado</v>
      </c>
      <c r="L229" s="39">
        <f t="shared" si="19"/>
        <v>15</v>
      </c>
    </row>
    <row r="230" spans="2:12">
      <c r="B230" s="105" t="s">
        <v>314</v>
      </c>
      <c r="C230" s="39" t="s">
        <v>310</v>
      </c>
      <c r="D230" s="105" t="s">
        <v>291</v>
      </c>
      <c r="E230" s="39" t="s">
        <v>310</v>
      </c>
      <c r="F230" s="107" t="str">
        <f t="shared" si="14"/>
        <v>16/06/2024</v>
      </c>
      <c r="G230" s="92">
        <f t="shared" si="17"/>
        <v>8</v>
      </c>
      <c r="H230" t="str">
        <f t="shared" si="16"/>
        <v>Cuarto Creciente</v>
      </c>
      <c r="J230">
        <f t="shared" si="15"/>
        <v>0</v>
      </c>
      <c r="K230" t="str">
        <f t="shared" si="18"/>
        <v>Domingo</v>
      </c>
      <c r="L230" s="39">
        <f t="shared" si="19"/>
        <v>16</v>
      </c>
    </row>
    <row r="231" spans="2:12">
      <c r="B231" s="105" t="s">
        <v>315</v>
      </c>
      <c r="C231" s="39" t="s">
        <v>310</v>
      </c>
      <c r="D231" s="105" t="s">
        <v>291</v>
      </c>
      <c r="E231" s="39" t="s">
        <v>310</v>
      </c>
      <c r="F231" s="107" t="str">
        <f t="shared" si="14"/>
        <v>17/06/2024</v>
      </c>
      <c r="G231" s="92">
        <f t="shared" si="17"/>
        <v>9</v>
      </c>
      <c r="H231" t="str">
        <f t="shared" si="16"/>
        <v>Cuarto Creciente</v>
      </c>
      <c r="J231">
        <f t="shared" si="15"/>
        <v>1</v>
      </c>
      <c r="K231" t="str">
        <f t="shared" si="18"/>
        <v>Lunes</v>
      </c>
      <c r="L231" s="39">
        <f t="shared" si="19"/>
        <v>17</v>
      </c>
    </row>
    <row r="232" spans="2:12">
      <c r="B232" s="105" t="s">
        <v>316</v>
      </c>
      <c r="C232" s="39" t="s">
        <v>310</v>
      </c>
      <c r="D232" s="105" t="s">
        <v>291</v>
      </c>
      <c r="E232" s="39" t="s">
        <v>310</v>
      </c>
      <c r="F232" s="107" t="str">
        <f t="shared" si="14"/>
        <v>18/06/2024</v>
      </c>
      <c r="G232" s="92">
        <f t="shared" si="17"/>
        <v>10</v>
      </c>
      <c r="H232" t="str">
        <f t="shared" si="16"/>
        <v>Cuarto Creciente</v>
      </c>
      <c r="J232">
        <f t="shared" si="15"/>
        <v>2</v>
      </c>
      <c r="K232" t="str">
        <f t="shared" si="18"/>
        <v>Martes</v>
      </c>
      <c r="L232" s="39">
        <f t="shared" si="19"/>
        <v>18</v>
      </c>
    </row>
    <row r="233" spans="2:12">
      <c r="B233" s="105" t="s">
        <v>317</v>
      </c>
      <c r="C233" s="39" t="s">
        <v>310</v>
      </c>
      <c r="D233" s="105" t="s">
        <v>291</v>
      </c>
      <c r="E233" s="39" t="s">
        <v>310</v>
      </c>
      <c r="F233" s="107" t="str">
        <f t="shared" si="14"/>
        <v>19/06/2024</v>
      </c>
      <c r="G233" s="92">
        <f t="shared" si="17"/>
        <v>11</v>
      </c>
      <c r="H233" t="str">
        <f t="shared" si="16"/>
        <v>Cuarto Creciente</v>
      </c>
      <c r="J233">
        <f t="shared" si="15"/>
        <v>3</v>
      </c>
      <c r="K233" t="str">
        <f t="shared" si="18"/>
        <v>Miércoles</v>
      </c>
      <c r="L233" s="39">
        <f t="shared" si="19"/>
        <v>19</v>
      </c>
    </row>
    <row r="234" spans="2:12">
      <c r="B234" s="105" t="s">
        <v>318</v>
      </c>
      <c r="C234" s="39" t="s">
        <v>310</v>
      </c>
      <c r="D234" s="105" t="s">
        <v>291</v>
      </c>
      <c r="E234" s="39" t="s">
        <v>310</v>
      </c>
      <c r="F234" s="107" t="str">
        <f t="shared" si="14"/>
        <v>20/06/2024</v>
      </c>
      <c r="G234" s="92">
        <f t="shared" si="17"/>
        <v>12</v>
      </c>
      <c r="H234" t="str">
        <f t="shared" si="16"/>
        <v>Cuarto Creciente</v>
      </c>
      <c r="J234">
        <f t="shared" si="15"/>
        <v>4</v>
      </c>
      <c r="K234" t="str">
        <f t="shared" si="18"/>
        <v>Jueves</v>
      </c>
      <c r="L234" s="39">
        <f t="shared" si="19"/>
        <v>20</v>
      </c>
    </row>
    <row r="235" spans="2:12">
      <c r="B235" s="105" t="s">
        <v>319</v>
      </c>
      <c r="C235" s="39" t="s">
        <v>310</v>
      </c>
      <c r="D235" s="105" t="s">
        <v>291</v>
      </c>
      <c r="E235" s="39" t="s">
        <v>310</v>
      </c>
      <c r="F235" s="107" t="str">
        <f t="shared" si="14"/>
        <v>21/06/2024</v>
      </c>
      <c r="G235" s="92">
        <f t="shared" si="17"/>
        <v>13</v>
      </c>
      <c r="H235" t="str">
        <f t="shared" si="16"/>
        <v>Cuarto Creciente</v>
      </c>
      <c r="J235">
        <f t="shared" si="15"/>
        <v>5</v>
      </c>
      <c r="K235" t="str">
        <f t="shared" si="18"/>
        <v>Viernes</v>
      </c>
      <c r="L235" s="39">
        <f t="shared" si="19"/>
        <v>21</v>
      </c>
    </row>
    <row r="236" spans="2:12">
      <c r="B236" s="105" t="s">
        <v>320</v>
      </c>
      <c r="C236" s="39" t="s">
        <v>310</v>
      </c>
      <c r="D236" s="105" t="s">
        <v>291</v>
      </c>
      <c r="E236" s="39" t="s">
        <v>310</v>
      </c>
      <c r="F236" s="107" t="str">
        <f t="shared" si="14"/>
        <v>22/06/2024</v>
      </c>
      <c r="G236" s="92">
        <f t="shared" si="17"/>
        <v>14</v>
      </c>
      <c r="H236" t="str">
        <f t="shared" si="16"/>
        <v>Luna Llena</v>
      </c>
      <c r="J236">
        <f t="shared" si="15"/>
        <v>6</v>
      </c>
      <c r="K236" t="str">
        <f t="shared" si="18"/>
        <v>Sábado</v>
      </c>
      <c r="L236" s="39">
        <f t="shared" si="19"/>
        <v>22</v>
      </c>
    </row>
    <row r="237" spans="2:12">
      <c r="B237" s="105" t="s">
        <v>321</v>
      </c>
      <c r="C237" s="39" t="s">
        <v>310</v>
      </c>
      <c r="D237" s="105" t="s">
        <v>291</v>
      </c>
      <c r="E237" s="39" t="s">
        <v>310</v>
      </c>
      <c r="F237" s="107" t="str">
        <f t="shared" si="14"/>
        <v>23/06/2024</v>
      </c>
      <c r="G237" s="92">
        <f t="shared" si="17"/>
        <v>15</v>
      </c>
      <c r="H237" t="str">
        <f t="shared" si="16"/>
        <v>Luna Llena</v>
      </c>
      <c r="J237">
        <f t="shared" si="15"/>
        <v>0</v>
      </c>
      <c r="K237" t="str">
        <f t="shared" si="18"/>
        <v>Domingo</v>
      </c>
      <c r="L237" s="39">
        <f t="shared" si="19"/>
        <v>23</v>
      </c>
    </row>
    <row r="238" spans="2:12">
      <c r="B238" s="105" t="s">
        <v>322</v>
      </c>
      <c r="C238" s="39" t="s">
        <v>310</v>
      </c>
      <c r="D238" s="105" t="s">
        <v>291</v>
      </c>
      <c r="E238" s="39" t="s">
        <v>310</v>
      </c>
      <c r="F238" s="107" t="str">
        <f t="shared" si="14"/>
        <v>24/06/2024</v>
      </c>
      <c r="G238" s="92">
        <f t="shared" si="17"/>
        <v>16</v>
      </c>
      <c r="H238" t="str">
        <f t="shared" si="16"/>
        <v>Luna Llena</v>
      </c>
      <c r="J238">
        <f t="shared" si="15"/>
        <v>1</v>
      </c>
      <c r="K238" t="str">
        <f t="shared" si="18"/>
        <v>Lunes</v>
      </c>
      <c r="L238" s="39">
        <f t="shared" si="19"/>
        <v>24</v>
      </c>
    </row>
    <row r="239" spans="2:12">
      <c r="B239" s="105" t="s">
        <v>323</v>
      </c>
      <c r="C239" s="39" t="s">
        <v>310</v>
      </c>
      <c r="D239" s="105" t="s">
        <v>291</v>
      </c>
      <c r="E239" s="39" t="s">
        <v>310</v>
      </c>
      <c r="F239" s="107" t="str">
        <f t="shared" si="14"/>
        <v>25/06/2024</v>
      </c>
      <c r="G239" s="92">
        <f t="shared" si="17"/>
        <v>17</v>
      </c>
      <c r="H239" t="str">
        <f t="shared" si="16"/>
        <v>Luna Llena</v>
      </c>
      <c r="J239">
        <f t="shared" si="15"/>
        <v>2</v>
      </c>
      <c r="K239" t="str">
        <f t="shared" si="18"/>
        <v>Martes</v>
      </c>
      <c r="L239" s="39">
        <f t="shared" si="19"/>
        <v>25</v>
      </c>
    </row>
    <row r="240" spans="2:12">
      <c r="B240" s="105" t="s">
        <v>324</v>
      </c>
      <c r="C240" s="39" t="s">
        <v>310</v>
      </c>
      <c r="D240" s="105" t="s">
        <v>291</v>
      </c>
      <c r="E240" s="39" t="s">
        <v>310</v>
      </c>
      <c r="F240" s="107" t="str">
        <f t="shared" si="14"/>
        <v>26/06/2024</v>
      </c>
      <c r="G240" s="92">
        <f t="shared" si="17"/>
        <v>18</v>
      </c>
      <c r="H240" t="str">
        <f t="shared" si="16"/>
        <v>Luna Llena</v>
      </c>
      <c r="J240">
        <f t="shared" si="15"/>
        <v>3</v>
      </c>
      <c r="K240" t="str">
        <f t="shared" si="18"/>
        <v>Miércoles</v>
      </c>
      <c r="L240" s="39">
        <f t="shared" si="19"/>
        <v>26</v>
      </c>
    </row>
    <row r="241" spans="2:12">
      <c r="B241" s="105" t="s">
        <v>325</v>
      </c>
      <c r="C241" s="39" t="s">
        <v>310</v>
      </c>
      <c r="D241" s="105" t="s">
        <v>291</v>
      </c>
      <c r="E241" s="39" t="s">
        <v>310</v>
      </c>
      <c r="F241" s="107" t="str">
        <f t="shared" si="14"/>
        <v>27/06/2024</v>
      </c>
      <c r="G241" s="92">
        <f t="shared" si="17"/>
        <v>19</v>
      </c>
      <c r="H241" t="str">
        <f t="shared" si="16"/>
        <v>Luna Llena</v>
      </c>
      <c r="J241">
        <f t="shared" si="15"/>
        <v>4</v>
      </c>
      <c r="K241" t="str">
        <f t="shared" si="18"/>
        <v>Jueves</v>
      </c>
      <c r="L241" s="39">
        <f t="shared" si="19"/>
        <v>27</v>
      </c>
    </row>
    <row r="242" spans="2:12">
      <c r="B242" s="105" t="s">
        <v>326</v>
      </c>
      <c r="C242" s="39" t="s">
        <v>310</v>
      </c>
      <c r="D242" s="105" t="s">
        <v>291</v>
      </c>
      <c r="E242" s="39" t="s">
        <v>310</v>
      </c>
      <c r="F242" s="107" t="str">
        <f t="shared" si="14"/>
        <v>28/06/2024</v>
      </c>
      <c r="G242" s="92">
        <f t="shared" si="17"/>
        <v>20</v>
      </c>
      <c r="H242" t="str">
        <f t="shared" si="16"/>
        <v>Luna Llena</v>
      </c>
      <c r="J242">
        <f t="shared" si="15"/>
        <v>5</v>
      </c>
      <c r="K242" t="str">
        <f t="shared" si="18"/>
        <v>Viernes</v>
      </c>
      <c r="L242" s="39">
        <f t="shared" si="19"/>
        <v>28</v>
      </c>
    </row>
    <row r="243" spans="2:12">
      <c r="B243" s="105">
        <v>29</v>
      </c>
      <c r="C243" s="39" t="s">
        <v>310</v>
      </c>
      <c r="D243" s="105" t="s">
        <v>291</v>
      </c>
      <c r="E243" s="39" t="s">
        <v>310</v>
      </c>
      <c r="F243" s="107" t="str">
        <f t="shared" si="14"/>
        <v>29/06/2024</v>
      </c>
      <c r="G243" s="92">
        <f t="shared" si="17"/>
        <v>21</v>
      </c>
      <c r="H243" t="str">
        <f t="shared" si="16"/>
        <v>Cuarto Menguante</v>
      </c>
      <c r="J243">
        <f t="shared" si="15"/>
        <v>6</v>
      </c>
      <c r="K243" t="str">
        <f t="shared" si="18"/>
        <v>Sábado</v>
      </c>
      <c r="L243" s="39">
        <f t="shared" si="19"/>
        <v>29</v>
      </c>
    </row>
    <row r="244" spans="2:12">
      <c r="B244" s="105">
        <v>30</v>
      </c>
      <c r="C244" s="39" t="s">
        <v>310</v>
      </c>
      <c r="D244" s="105" t="s">
        <v>291</v>
      </c>
      <c r="E244" s="39" t="s">
        <v>310</v>
      </c>
      <c r="F244" s="107" t="str">
        <f t="shared" si="14"/>
        <v>30/06/2024</v>
      </c>
      <c r="G244" s="92">
        <f t="shared" si="17"/>
        <v>22</v>
      </c>
      <c r="H244" t="str">
        <f t="shared" si="16"/>
        <v>Cuarto Menguante</v>
      </c>
      <c r="J244">
        <f t="shared" si="15"/>
        <v>0</v>
      </c>
      <c r="K244" t="str">
        <f t="shared" si="18"/>
        <v>Domingo</v>
      </c>
      <c r="L244" s="39">
        <f t="shared" si="19"/>
        <v>30</v>
      </c>
    </row>
    <row r="245" spans="2:12">
      <c r="B245" s="105" t="s">
        <v>284</v>
      </c>
      <c r="C245" s="39" t="s">
        <v>310</v>
      </c>
      <c r="D245" s="105" t="s">
        <v>292</v>
      </c>
      <c r="E245" s="39" t="s">
        <v>310</v>
      </c>
      <c r="F245" s="107" t="str">
        <f t="shared" si="14"/>
        <v>01/07/2024</v>
      </c>
      <c r="G245" s="92">
        <f t="shared" si="17"/>
        <v>24</v>
      </c>
      <c r="H245" t="str">
        <f t="shared" si="16"/>
        <v>Cuarto Menguante</v>
      </c>
      <c r="J245">
        <f t="shared" si="15"/>
        <v>1</v>
      </c>
      <c r="K245" t="str">
        <f t="shared" si="18"/>
        <v>Lunes</v>
      </c>
      <c r="L245" s="39">
        <f t="shared" si="19"/>
        <v>1</v>
      </c>
    </row>
    <row r="246" spans="2:12">
      <c r="B246" s="105" t="s">
        <v>286</v>
      </c>
      <c r="C246" s="39" t="s">
        <v>310</v>
      </c>
      <c r="D246" s="105" t="s">
        <v>292</v>
      </c>
      <c r="E246" s="39" t="s">
        <v>310</v>
      </c>
      <c r="F246" s="107" t="str">
        <f t="shared" si="14"/>
        <v>02/07/2024</v>
      </c>
      <c r="G246" s="92">
        <f t="shared" si="17"/>
        <v>25</v>
      </c>
      <c r="H246" t="str">
        <f t="shared" si="16"/>
        <v>Cuarto Menguante</v>
      </c>
      <c r="J246">
        <f t="shared" si="15"/>
        <v>2</v>
      </c>
      <c r="K246" t="str">
        <f t="shared" si="18"/>
        <v>Martes</v>
      </c>
      <c r="L246" s="39">
        <f t="shared" si="19"/>
        <v>2</v>
      </c>
    </row>
    <row r="247" spans="2:12">
      <c r="B247" s="105" t="s">
        <v>287</v>
      </c>
      <c r="C247" s="39" t="s">
        <v>310</v>
      </c>
      <c r="D247" s="105" t="s">
        <v>292</v>
      </c>
      <c r="E247" s="39" t="s">
        <v>310</v>
      </c>
      <c r="F247" s="107" t="str">
        <f t="shared" si="14"/>
        <v>03/07/2024</v>
      </c>
      <c r="G247" s="92">
        <f t="shared" si="17"/>
        <v>26</v>
      </c>
      <c r="H247" t="str">
        <f t="shared" si="16"/>
        <v>Cuarto Menguante</v>
      </c>
      <c r="J247">
        <f t="shared" si="15"/>
        <v>3</v>
      </c>
      <c r="K247" t="str">
        <f t="shared" si="18"/>
        <v>Miércoles</v>
      </c>
      <c r="L247" s="39">
        <f t="shared" si="19"/>
        <v>3</v>
      </c>
    </row>
    <row r="248" spans="2:12">
      <c r="B248" s="105" t="s">
        <v>288</v>
      </c>
      <c r="C248" s="39" t="s">
        <v>310</v>
      </c>
      <c r="D248" s="105" t="s">
        <v>292</v>
      </c>
      <c r="E248" s="39" t="s">
        <v>310</v>
      </c>
      <c r="F248" s="107" t="str">
        <f t="shared" si="14"/>
        <v>04/07/2024</v>
      </c>
      <c r="G248" s="92">
        <f t="shared" si="17"/>
        <v>27</v>
      </c>
      <c r="H248" t="str">
        <f t="shared" si="16"/>
        <v>Cuarto Menguante</v>
      </c>
      <c r="J248">
        <f t="shared" si="15"/>
        <v>4</v>
      </c>
      <c r="K248" t="str">
        <f t="shared" si="18"/>
        <v>Jueves</v>
      </c>
      <c r="L248" s="39">
        <f t="shared" si="19"/>
        <v>4</v>
      </c>
    </row>
    <row r="249" spans="2:12">
      <c r="B249" s="105" t="s">
        <v>290</v>
      </c>
      <c r="C249" s="39" t="s">
        <v>310</v>
      </c>
      <c r="D249" s="105" t="s">
        <v>292</v>
      </c>
      <c r="E249" s="39" t="s">
        <v>310</v>
      </c>
      <c r="F249" s="107" t="str">
        <f t="shared" si="14"/>
        <v>05/07/2024</v>
      </c>
      <c r="G249" s="92">
        <f t="shared" si="17"/>
        <v>28</v>
      </c>
      <c r="H249" t="str">
        <f t="shared" si="16"/>
        <v>Luna Nueva</v>
      </c>
      <c r="J249">
        <f t="shared" si="15"/>
        <v>5</v>
      </c>
      <c r="K249" t="str">
        <f t="shared" si="18"/>
        <v>Viernes</v>
      </c>
      <c r="L249" s="39">
        <f t="shared" si="19"/>
        <v>5</v>
      </c>
    </row>
    <row r="250" spans="2:12">
      <c r="B250" s="105" t="s">
        <v>291</v>
      </c>
      <c r="C250" s="39" t="s">
        <v>310</v>
      </c>
      <c r="D250" s="105" t="s">
        <v>292</v>
      </c>
      <c r="E250" s="39" t="s">
        <v>310</v>
      </c>
      <c r="F250" s="107" t="str">
        <f t="shared" si="14"/>
        <v>06/07/2024</v>
      </c>
      <c r="G250" s="92">
        <f t="shared" si="17"/>
        <v>29</v>
      </c>
      <c r="H250" t="str">
        <f t="shared" si="16"/>
        <v>Luna Nueva</v>
      </c>
      <c r="J250">
        <f t="shared" si="15"/>
        <v>6</v>
      </c>
      <c r="K250" t="str">
        <f t="shared" si="18"/>
        <v>Sábado</v>
      </c>
      <c r="L250" s="39">
        <f t="shared" si="19"/>
        <v>6</v>
      </c>
    </row>
    <row r="251" spans="2:12">
      <c r="B251" s="105" t="s">
        <v>292</v>
      </c>
      <c r="C251" s="39" t="s">
        <v>310</v>
      </c>
      <c r="D251" s="105" t="s">
        <v>292</v>
      </c>
      <c r="E251" s="39" t="s">
        <v>310</v>
      </c>
      <c r="F251" s="107" t="str">
        <f t="shared" ref="F251:F314" si="20">CONCATENATE(B251,C251,D251,E251,$E$37)</f>
        <v>07/07/2024</v>
      </c>
      <c r="G251" s="92">
        <f t="shared" si="17"/>
        <v>0</v>
      </c>
      <c r="H251" t="str">
        <f t="shared" si="16"/>
        <v>Luna Nueva</v>
      </c>
      <c r="J251">
        <f t="shared" si="15"/>
        <v>0</v>
      </c>
      <c r="K251" t="str">
        <f t="shared" si="18"/>
        <v>Domingo</v>
      </c>
      <c r="L251" s="39">
        <f t="shared" si="19"/>
        <v>7</v>
      </c>
    </row>
    <row r="252" spans="2:12">
      <c r="B252" s="105" t="s">
        <v>293</v>
      </c>
      <c r="C252" s="39" t="s">
        <v>310</v>
      </c>
      <c r="D252" s="105" t="s">
        <v>292</v>
      </c>
      <c r="E252" s="39" t="s">
        <v>310</v>
      </c>
      <c r="F252" s="107" t="str">
        <f t="shared" si="20"/>
        <v>08/07/2024</v>
      </c>
      <c r="G252" s="92">
        <f t="shared" si="17"/>
        <v>1</v>
      </c>
      <c r="H252" t="str">
        <f t="shared" si="16"/>
        <v>Luna Nueva</v>
      </c>
      <c r="J252">
        <f t="shared" si="15"/>
        <v>1</v>
      </c>
      <c r="K252" t="str">
        <f t="shared" si="18"/>
        <v>Lunes</v>
      </c>
      <c r="L252" s="39">
        <f t="shared" si="19"/>
        <v>8</v>
      </c>
    </row>
    <row r="253" spans="2:12">
      <c r="B253" s="105" t="s">
        <v>294</v>
      </c>
      <c r="C253" s="39" t="s">
        <v>310</v>
      </c>
      <c r="D253" s="105" t="s">
        <v>292</v>
      </c>
      <c r="E253" s="39" t="s">
        <v>310</v>
      </c>
      <c r="F253" s="107" t="str">
        <f t="shared" si="20"/>
        <v>09/07/2024</v>
      </c>
      <c r="G253" s="92">
        <f t="shared" si="17"/>
        <v>2</v>
      </c>
      <c r="H253" t="str">
        <f t="shared" si="16"/>
        <v>Luna Nueva</v>
      </c>
      <c r="J253">
        <f t="shared" ref="J253:J316" si="21">IF(J252&lt;6,J252+1,0)</f>
        <v>2</v>
      </c>
      <c r="K253" t="str">
        <f t="shared" si="18"/>
        <v>Martes</v>
      </c>
      <c r="L253" s="39">
        <f t="shared" si="19"/>
        <v>9</v>
      </c>
    </row>
    <row r="254" spans="2:12">
      <c r="B254" s="105" t="s">
        <v>295</v>
      </c>
      <c r="C254" s="39" t="s">
        <v>310</v>
      </c>
      <c r="D254" s="105" t="s">
        <v>292</v>
      </c>
      <c r="E254" s="39" t="s">
        <v>310</v>
      </c>
      <c r="F254" s="107" t="str">
        <f t="shared" si="20"/>
        <v>10/07/2024</v>
      </c>
      <c r="G254" s="92">
        <f t="shared" si="17"/>
        <v>3</v>
      </c>
      <c r="H254" t="str">
        <f t="shared" si="16"/>
        <v>Luna Nueva</v>
      </c>
      <c r="J254">
        <f t="shared" si="21"/>
        <v>3</v>
      </c>
      <c r="K254" t="str">
        <f t="shared" si="18"/>
        <v>Miércoles</v>
      </c>
      <c r="L254" s="39">
        <f t="shared" si="19"/>
        <v>10</v>
      </c>
    </row>
    <row r="255" spans="2:12">
      <c r="B255" s="105" t="s">
        <v>297</v>
      </c>
      <c r="C255" s="39" t="s">
        <v>310</v>
      </c>
      <c r="D255" s="105" t="s">
        <v>292</v>
      </c>
      <c r="E255" s="39" t="s">
        <v>310</v>
      </c>
      <c r="F255" s="107" t="str">
        <f t="shared" si="20"/>
        <v>11/07/2024</v>
      </c>
      <c r="G255" s="92">
        <f t="shared" si="17"/>
        <v>4</v>
      </c>
      <c r="H255" t="str">
        <f t="shared" ref="H255:H318" si="22">VLOOKUP(G255,$J$32:$K$61,2)</f>
        <v>Luna Nueva</v>
      </c>
      <c r="J255">
        <f t="shared" si="21"/>
        <v>4</v>
      </c>
      <c r="K255" t="str">
        <f t="shared" si="18"/>
        <v>Jueves</v>
      </c>
      <c r="L255" s="39">
        <f t="shared" si="19"/>
        <v>11</v>
      </c>
    </row>
    <row r="256" spans="2:12">
      <c r="B256" s="105" t="s">
        <v>298</v>
      </c>
      <c r="C256" s="39" t="s">
        <v>310</v>
      </c>
      <c r="D256" s="105" t="s">
        <v>292</v>
      </c>
      <c r="E256" s="39" t="s">
        <v>310</v>
      </c>
      <c r="F256" s="107" t="str">
        <f t="shared" si="20"/>
        <v>12/07/2024</v>
      </c>
      <c r="G256" s="92">
        <f t="shared" ref="G256:G319" si="23">MOD($A$69+B256+VLOOKUP(MONTH(F256),$B$35:$D$46,3),30)</f>
        <v>5</v>
      </c>
      <c r="H256" t="str">
        <f t="shared" si="22"/>
        <v>Luna Nueva</v>
      </c>
      <c r="J256">
        <f t="shared" si="21"/>
        <v>5</v>
      </c>
      <c r="K256" t="str">
        <f t="shared" ref="K256:K319" si="24">VLOOKUP(J256,$H$45:$I$52,2)</f>
        <v>Viernes</v>
      </c>
      <c r="L256" s="39">
        <f t="shared" ref="L256:L319" si="25">VALUE(LEFT(F256,2))</f>
        <v>12</v>
      </c>
    </row>
    <row r="257" spans="2:12">
      <c r="B257" s="105" t="s">
        <v>311</v>
      </c>
      <c r="C257" s="39" t="s">
        <v>310</v>
      </c>
      <c r="D257" s="105" t="s">
        <v>292</v>
      </c>
      <c r="E257" s="39" t="s">
        <v>310</v>
      </c>
      <c r="F257" s="107" t="str">
        <f t="shared" si="20"/>
        <v>13/07/2024</v>
      </c>
      <c r="G257" s="92">
        <f t="shared" si="23"/>
        <v>6</v>
      </c>
      <c r="H257" t="str">
        <f t="shared" si="22"/>
        <v>Cuarto Creciente</v>
      </c>
      <c r="J257">
        <f t="shared" si="21"/>
        <v>6</v>
      </c>
      <c r="K257" t="str">
        <f t="shared" si="24"/>
        <v>Sábado</v>
      </c>
      <c r="L257" s="39">
        <f t="shared" si="25"/>
        <v>13</v>
      </c>
    </row>
    <row r="258" spans="2:12">
      <c r="B258" s="105" t="s">
        <v>312</v>
      </c>
      <c r="C258" s="39" t="s">
        <v>310</v>
      </c>
      <c r="D258" s="105" t="s">
        <v>292</v>
      </c>
      <c r="E258" s="39" t="s">
        <v>310</v>
      </c>
      <c r="F258" s="107" t="str">
        <f t="shared" si="20"/>
        <v>14/07/2024</v>
      </c>
      <c r="G258" s="92">
        <f t="shared" si="23"/>
        <v>7</v>
      </c>
      <c r="H258" t="str">
        <f t="shared" si="22"/>
        <v>Cuarto Creciente</v>
      </c>
      <c r="J258">
        <f t="shared" si="21"/>
        <v>0</v>
      </c>
      <c r="K258" t="str">
        <f t="shared" si="24"/>
        <v>Domingo</v>
      </c>
      <c r="L258" s="39">
        <f t="shared" si="25"/>
        <v>14</v>
      </c>
    </row>
    <row r="259" spans="2:12">
      <c r="B259" s="105" t="s">
        <v>313</v>
      </c>
      <c r="C259" s="39" t="s">
        <v>310</v>
      </c>
      <c r="D259" s="105" t="s">
        <v>292</v>
      </c>
      <c r="E259" s="39" t="s">
        <v>310</v>
      </c>
      <c r="F259" s="107" t="str">
        <f t="shared" si="20"/>
        <v>15/07/2024</v>
      </c>
      <c r="G259" s="92">
        <f t="shared" si="23"/>
        <v>8</v>
      </c>
      <c r="H259" t="str">
        <f t="shared" si="22"/>
        <v>Cuarto Creciente</v>
      </c>
      <c r="J259">
        <f t="shared" si="21"/>
        <v>1</v>
      </c>
      <c r="K259" t="str">
        <f t="shared" si="24"/>
        <v>Lunes</v>
      </c>
      <c r="L259" s="39">
        <f t="shared" si="25"/>
        <v>15</v>
      </c>
    </row>
    <row r="260" spans="2:12">
      <c r="B260" s="105" t="s">
        <v>314</v>
      </c>
      <c r="C260" s="39" t="s">
        <v>310</v>
      </c>
      <c r="D260" s="105" t="s">
        <v>292</v>
      </c>
      <c r="E260" s="39" t="s">
        <v>310</v>
      </c>
      <c r="F260" s="107" t="str">
        <f t="shared" si="20"/>
        <v>16/07/2024</v>
      </c>
      <c r="G260" s="92">
        <f t="shared" si="23"/>
        <v>9</v>
      </c>
      <c r="H260" t="str">
        <f t="shared" si="22"/>
        <v>Cuarto Creciente</v>
      </c>
      <c r="J260">
        <f t="shared" si="21"/>
        <v>2</v>
      </c>
      <c r="K260" t="str">
        <f t="shared" si="24"/>
        <v>Martes</v>
      </c>
      <c r="L260" s="39">
        <f t="shared" si="25"/>
        <v>16</v>
      </c>
    </row>
    <row r="261" spans="2:12">
      <c r="B261" s="105" t="s">
        <v>315</v>
      </c>
      <c r="C261" s="39" t="s">
        <v>310</v>
      </c>
      <c r="D261" s="105" t="s">
        <v>292</v>
      </c>
      <c r="E261" s="39" t="s">
        <v>310</v>
      </c>
      <c r="F261" s="107" t="str">
        <f t="shared" si="20"/>
        <v>17/07/2024</v>
      </c>
      <c r="G261" s="92">
        <f t="shared" si="23"/>
        <v>10</v>
      </c>
      <c r="H261" t="str">
        <f t="shared" si="22"/>
        <v>Cuarto Creciente</v>
      </c>
      <c r="J261">
        <f t="shared" si="21"/>
        <v>3</v>
      </c>
      <c r="K261" t="str">
        <f t="shared" si="24"/>
        <v>Miércoles</v>
      </c>
      <c r="L261" s="39">
        <f t="shared" si="25"/>
        <v>17</v>
      </c>
    </row>
    <row r="262" spans="2:12">
      <c r="B262" s="105" t="s">
        <v>316</v>
      </c>
      <c r="C262" s="39" t="s">
        <v>310</v>
      </c>
      <c r="D262" s="105" t="s">
        <v>292</v>
      </c>
      <c r="E262" s="39" t="s">
        <v>310</v>
      </c>
      <c r="F262" s="107" t="str">
        <f t="shared" si="20"/>
        <v>18/07/2024</v>
      </c>
      <c r="G262" s="92">
        <f t="shared" si="23"/>
        <v>11</v>
      </c>
      <c r="H262" t="str">
        <f t="shared" si="22"/>
        <v>Cuarto Creciente</v>
      </c>
      <c r="J262">
        <f t="shared" si="21"/>
        <v>4</v>
      </c>
      <c r="K262" t="str">
        <f t="shared" si="24"/>
        <v>Jueves</v>
      </c>
      <c r="L262" s="39">
        <f t="shared" si="25"/>
        <v>18</v>
      </c>
    </row>
    <row r="263" spans="2:12">
      <c r="B263" s="105" t="s">
        <v>317</v>
      </c>
      <c r="C263" s="39" t="s">
        <v>310</v>
      </c>
      <c r="D263" s="105" t="s">
        <v>292</v>
      </c>
      <c r="E263" s="39" t="s">
        <v>310</v>
      </c>
      <c r="F263" s="107" t="str">
        <f t="shared" si="20"/>
        <v>19/07/2024</v>
      </c>
      <c r="G263" s="92">
        <f t="shared" si="23"/>
        <v>12</v>
      </c>
      <c r="H263" t="str">
        <f t="shared" si="22"/>
        <v>Cuarto Creciente</v>
      </c>
      <c r="J263">
        <f t="shared" si="21"/>
        <v>5</v>
      </c>
      <c r="K263" t="str">
        <f t="shared" si="24"/>
        <v>Viernes</v>
      </c>
      <c r="L263" s="39">
        <f t="shared" si="25"/>
        <v>19</v>
      </c>
    </row>
    <row r="264" spans="2:12">
      <c r="B264" s="105" t="s">
        <v>318</v>
      </c>
      <c r="C264" s="39" t="s">
        <v>310</v>
      </c>
      <c r="D264" s="105" t="s">
        <v>292</v>
      </c>
      <c r="E264" s="39" t="s">
        <v>310</v>
      </c>
      <c r="F264" s="107" t="str">
        <f t="shared" si="20"/>
        <v>20/07/2024</v>
      </c>
      <c r="G264" s="92">
        <f t="shared" si="23"/>
        <v>13</v>
      </c>
      <c r="H264" t="str">
        <f t="shared" si="22"/>
        <v>Cuarto Creciente</v>
      </c>
      <c r="J264">
        <f t="shared" si="21"/>
        <v>6</v>
      </c>
      <c r="K264" t="str">
        <f t="shared" si="24"/>
        <v>Sábado</v>
      </c>
      <c r="L264" s="39">
        <f t="shared" si="25"/>
        <v>20</v>
      </c>
    </row>
    <row r="265" spans="2:12">
      <c r="B265" s="105" t="s">
        <v>319</v>
      </c>
      <c r="C265" s="39" t="s">
        <v>310</v>
      </c>
      <c r="D265" s="105" t="s">
        <v>292</v>
      </c>
      <c r="E265" s="39" t="s">
        <v>310</v>
      </c>
      <c r="F265" s="107" t="str">
        <f t="shared" si="20"/>
        <v>21/07/2024</v>
      </c>
      <c r="G265" s="92">
        <f t="shared" si="23"/>
        <v>14</v>
      </c>
      <c r="H265" t="str">
        <f t="shared" si="22"/>
        <v>Luna Llena</v>
      </c>
      <c r="J265">
        <f t="shared" si="21"/>
        <v>0</v>
      </c>
      <c r="K265" t="str">
        <f t="shared" si="24"/>
        <v>Domingo</v>
      </c>
      <c r="L265" s="39">
        <f t="shared" si="25"/>
        <v>21</v>
      </c>
    </row>
    <row r="266" spans="2:12">
      <c r="B266" s="105" t="s">
        <v>320</v>
      </c>
      <c r="C266" s="39" t="s">
        <v>310</v>
      </c>
      <c r="D266" s="105" t="s">
        <v>292</v>
      </c>
      <c r="E266" s="39" t="s">
        <v>310</v>
      </c>
      <c r="F266" s="107" t="str">
        <f t="shared" si="20"/>
        <v>22/07/2024</v>
      </c>
      <c r="G266" s="92">
        <f t="shared" si="23"/>
        <v>15</v>
      </c>
      <c r="H266" t="str">
        <f t="shared" si="22"/>
        <v>Luna Llena</v>
      </c>
      <c r="J266">
        <f t="shared" si="21"/>
        <v>1</v>
      </c>
      <c r="K266" t="str">
        <f t="shared" si="24"/>
        <v>Lunes</v>
      </c>
      <c r="L266" s="39">
        <f t="shared" si="25"/>
        <v>22</v>
      </c>
    </row>
    <row r="267" spans="2:12">
      <c r="B267" s="105" t="s">
        <v>321</v>
      </c>
      <c r="C267" s="39" t="s">
        <v>310</v>
      </c>
      <c r="D267" s="105" t="s">
        <v>292</v>
      </c>
      <c r="E267" s="39" t="s">
        <v>310</v>
      </c>
      <c r="F267" s="107" t="str">
        <f t="shared" si="20"/>
        <v>23/07/2024</v>
      </c>
      <c r="G267" s="92">
        <f t="shared" si="23"/>
        <v>16</v>
      </c>
      <c r="H267" t="str">
        <f t="shared" si="22"/>
        <v>Luna Llena</v>
      </c>
      <c r="J267">
        <f t="shared" si="21"/>
        <v>2</v>
      </c>
      <c r="K267" t="str">
        <f t="shared" si="24"/>
        <v>Martes</v>
      </c>
      <c r="L267" s="39">
        <f t="shared" si="25"/>
        <v>23</v>
      </c>
    </row>
    <row r="268" spans="2:12">
      <c r="B268" s="105" t="s">
        <v>322</v>
      </c>
      <c r="C268" s="39" t="s">
        <v>310</v>
      </c>
      <c r="D268" s="105" t="s">
        <v>292</v>
      </c>
      <c r="E268" s="39" t="s">
        <v>310</v>
      </c>
      <c r="F268" s="107" t="str">
        <f t="shared" si="20"/>
        <v>24/07/2024</v>
      </c>
      <c r="G268" s="92">
        <f t="shared" si="23"/>
        <v>17</v>
      </c>
      <c r="H268" t="str">
        <f t="shared" si="22"/>
        <v>Luna Llena</v>
      </c>
      <c r="J268">
        <f t="shared" si="21"/>
        <v>3</v>
      </c>
      <c r="K268" t="str">
        <f t="shared" si="24"/>
        <v>Miércoles</v>
      </c>
      <c r="L268" s="39">
        <f t="shared" si="25"/>
        <v>24</v>
      </c>
    </row>
    <row r="269" spans="2:12">
      <c r="B269" s="105" t="s">
        <v>323</v>
      </c>
      <c r="C269" s="39" t="s">
        <v>310</v>
      </c>
      <c r="D269" s="105" t="s">
        <v>292</v>
      </c>
      <c r="E269" s="39" t="s">
        <v>310</v>
      </c>
      <c r="F269" s="107" t="str">
        <f t="shared" si="20"/>
        <v>25/07/2024</v>
      </c>
      <c r="G269" s="92">
        <f t="shared" si="23"/>
        <v>18</v>
      </c>
      <c r="H269" t="str">
        <f t="shared" si="22"/>
        <v>Luna Llena</v>
      </c>
      <c r="J269">
        <f t="shared" si="21"/>
        <v>4</v>
      </c>
      <c r="K269" t="str">
        <f t="shared" si="24"/>
        <v>Jueves</v>
      </c>
      <c r="L269" s="39">
        <f t="shared" si="25"/>
        <v>25</v>
      </c>
    </row>
    <row r="270" spans="2:12">
      <c r="B270" s="105" t="s">
        <v>324</v>
      </c>
      <c r="C270" s="39" t="s">
        <v>310</v>
      </c>
      <c r="D270" s="105" t="s">
        <v>292</v>
      </c>
      <c r="E270" s="39" t="s">
        <v>310</v>
      </c>
      <c r="F270" s="107" t="str">
        <f t="shared" si="20"/>
        <v>26/07/2024</v>
      </c>
      <c r="G270" s="92">
        <f t="shared" si="23"/>
        <v>19</v>
      </c>
      <c r="H270" t="str">
        <f t="shared" si="22"/>
        <v>Luna Llena</v>
      </c>
      <c r="J270">
        <f t="shared" si="21"/>
        <v>5</v>
      </c>
      <c r="K270" t="str">
        <f t="shared" si="24"/>
        <v>Viernes</v>
      </c>
      <c r="L270" s="39">
        <f t="shared" si="25"/>
        <v>26</v>
      </c>
    </row>
    <row r="271" spans="2:12">
      <c r="B271" s="105" t="s">
        <v>325</v>
      </c>
      <c r="C271" s="39" t="s">
        <v>310</v>
      </c>
      <c r="D271" s="105" t="s">
        <v>292</v>
      </c>
      <c r="E271" s="39" t="s">
        <v>310</v>
      </c>
      <c r="F271" s="107" t="str">
        <f t="shared" si="20"/>
        <v>27/07/2024</v>
      </c>
      <c r="G271" s="92">
        <f t="shared" si="23"/>
        <v>20</v>
      </c>
      <c r="H271" t="str">
        <f t="shared" si="22"/>
        <v>Luna Llena</v>
      </c>
      <c r="J271">
        <f t="shared" si="21"/>
        <v>6</v>
      </c>
      <c r="K271" t="str">
        <f t="shared" si="24"/>
        <v>Sábado</v>
      </c>
      <c r="L271" s="39">
        <f t="shared" si="25"/>
        <v>27</v>
      </c>
    </row>
    <row r="272" spans="2:12">
      <c r="B272" s="105" t="s">
        <v>326</v>
      </c>
      <c r="C272" s="39" t="s">
        <v>310</v>
      </c>
      <c r="D272" s="105" t="s">
        <v>292</v>
      </c>
      <c r="E272" s="39" t="s">
        <v>310</v>
      </c>
      <c r="F272" s="107" t="str">
        <f t="shared" si="20"/>
        <v>28/07/2024</v>
      </c>
      <c r="G272" s="92">
        <f t="shared" si="23"/>
        <v>21</v>
      </c>
      <c r="H272" t="str">
        <f t="shared" si="22"/>
        <v>Cuarto Menguante</v>
      </c>
      <c r="J272">
        <f t="shared" si="21"/>
        <v>0</v>
      </c>
      <c r="K272" t="str">
        <f t="shared" si="24"/>
        <v>Domingo</v>
      </c>
      <c r="L272" s="39">
        <f t="shared" si="25"/>
        <v>28</v>
      </c>
    </row>
    <row r="273" spans="2:12">
      <c r="B273" s="105">
        <v>29</v>
      </c>
      <c r="C273" s="39" t="s">
        <v>310</v>
      </c>
      <c r="D273" s="105" t="s">
        <v>292</v>
      </c>
      <c r="E273" s="39" t="s">
        <v>310</v>
      </c>
      <c r="F273" s="107" t="str">
        <f t="shared" si="20"/>
        <v>29/07/2024</v>
      </c>
      <c r="G273" s="92">
        <f t="shared" si="23"/>
        <v>22</v>
      </c>
      <c r="H273" t="str">
        <f t="shared" si="22"/>
        <v>Cuarto Menguante</v>
      </c>
      <c r="J273">
        <f t="shared" si="21"/>
        <v>1</v>
      </c>
      <c r="K273" t="str">
        <f t="shared" si="24"/>
        <v>Lunes</v>
      </c>
      <c r="L273" s="39">
        <f t="shared" si="25"/>
        <v>29</v>
      </c>
    </row>
    <row r="274" spans="2:12">
      <c r="B274" s="105">
        <v>30</v>
      </c>
      <c r="C274" s="39" t="s">
        <v>310</v>
      </c>
      <c r="D274" s="105" t="s">
        <v>292</v>
      </c>
      <c r="E274" s="39" t="s">
        <v>310</v>
      </c>
      <c r="F274" s="107" t="str">
        <f t="shared" si="20"/>
        <v>30/07/2024</v>
      </c>
      <c r="G274" s="92">
        <f t="shared" si="23"/>
        <v>23</v>
      </c>
      <c r="H274" t="str">
        <f t="shared" si="22"/>
        <v>Cuarto Menguante</v>
      </c>
      <c r="J274">
        <f t="shared" si="21"/>
        <v>2</v>
      </c>
      <c r="K274" t="str">
        <f t="shared" si="24"/>
        <v>Martes</v>
      </c>
      <c r="L274" s="39">
        <f t="shared" si="25"/>
        <v>30</v>
      </c>
    </row>
    <row r="275" spans="2:12">
      <c r="B275" s="105">
        <v>31</v>
      </c>
      <c r="C275" s="39" t="s">
        <v>310</v>
      </c>
      <c r="D275" s="105" t="s">
        <v>292</v>
      </c>
      <c r="E275" s="39" t="s">
        <v>310</v>
      </c>
      <c r="F275" s="107" t="str">
        <f t="shared" si="20"/>
        <v>31/07/2024</v>
      </c>
      <c r="G275" s="92">
        <f t="shared" si="23"/>
        <v>24</v>
      </c>
      <c r="H275" t="str">
        <f t="shared" si="22"/>
        <v>Cuarto Menguante</v>
      </c>
      <c r="J275">
        <f t="shared" si="21"/>
        <v>3</v>
      </c>
      <c r="K275" t="str">
        <f t="shared" si="24"/>
        <v>Miércoles</v>
      </c>
      <c r="L275" s="39">
        <f t="shared" si="25"/>
        <v>31</v>
      </c>
    </row>
    <row r="276" spans="2:12">
      <c r="B276" s="105" t="s">
        <v>284</v>
      </c>
      <c r="C276" s="39" t="s">
        <v>310</v>
      </c>
      <c r="D276" s="105" t="s">
        <v>293</v>
      </c>
      <c r="E276" s="39" t="s">
        <v>310</v>
      </c>
      <c r="F276" s="107" t="str">
        <f t="shared" si="20"/>
        <v>01/08/2024</v>
      </c>
      <c r="G276" s="92">
        <f t="shared" si="23"/>
        <v>25</v>
      </c>
      <c r="H276" t="str">
        <f t="shared" si="22"/>
        <v>Cuarto Menguante</v>
      </c>
      <c r="J276">
        <f t="shared" si="21"/>
        <v>4</v>
      </c>
      <c r="K276" t="str">
        <f t="shared" si="24"/>
        <v>Jueves</v>
      </c>
      <c r="L276" s="39">
        <f t="shared" si="25"/>
        <v>1</v>
      </c>
    </row>
    <row r="277" spans="2:12">
      <c r="B277" s="105" t="s">
        <v>286</v>
      </c>
      <c r="C277" s="39" t="s">
        <v>310</v>
      </c>
      <c r="D277" s="105" t="s">
        <v>293</v>
      </c>
      <c r="E277" s="39" t="s">
        <v>310</v>
      </c>
      <c r="F277" s="107" t="str">
        <f t="shared" si="20"/>
        <v>02/08/2024</v>
      </c>
      <c r="G277" s="92">
        <f t="shared" si="23"/>
        <v>26</v>
      </c>
      <c r="H277" t="str">
        <f t="shared" si="22"/>
        <v>Cuarto Menguante</v>
      </c>
      <c r="J277">
        <f t="shared" si="21"/>
        <v>5</v>
      </c>
      <c r="K277" t="str">
        <f t="shared" si="24"/>
        <v>Viernes</v>
      </c>
      <c r="L277" s="39">
        <f t="shared" si="25"/>
        <v>2</v>
      </c>
    </row>
    <row r="278" spans="2:12">
      <c r="B278" s="105" t="s">
        <v>287</v>
      </c>
      <c r="C278" s="39" t="s">
        <v>310</v>
      </c>
      <c r="D278" s="105" t="s">
        <v>293</v>
      </c>
      <c r="E278" s="39" t="s">
        <v>310</v>
      </c>
      <c r="F278" s="107" t="str">
        <f t="shared" si="20"/>
        <v>03/08/2024</v>
      </c>
      <c r="G278" s="92">
        <f t="shared" si="23"/>
        <v>27</v>
      </c>
      <c r="H278" t="str">
        <f t="shared" si="22"/>
        <v>Cuarto Menguante</v>
      </c>
      <c r="J278">
        <f t="shared" si="21"/>
        <v>6</v>
      </c>
      <c r="K278" t="str">
        <f t="shared" si="24"/>
        <v>Sábado</v>
      </c>
      <c r="L278" s="39">
        <f t="shared" si="25"/>
        <v>3</v>
      </c>
    </row>
    <row r="279" spans="2:12">
      <c r="B279" s="105" t="s">
        <v>288</v>
      </c>
      <c r="C279" s="39" t="s">
        <v>310</v>
      </c>
      <c r="D279" s="105" t="s">
        <v>293</v>
      </c>
      <c r="E279" s="39" t="s">
        <v>310</v>
      </c>
      <c r="F279" s="107" t="str">
        <f t="shared" si="20"/>
        <v>04/08/2024</v>
      </c>
      <c r="G279" s="92">
        <f t="shared" si="23"/>
        <v>28</v>
      </c>
      <c r="H279" t="str">
        <f t="shared" si="22"/>
        <v>Luna Nueva</v>
      </c>
      <c r="J279">
        <f t="shared" si="21"/>
        <v>0</v>
      </c>
      <c r="K279" t="str">
        <f t="shared" si="24"/>
        <v>Domingo</v>
      </c>
      <c r="L279" s="39">
        <f t="shared" si="25"/>
        <v>4</v>
      </c>
    </row>
    <row r="280" spans="2:12">
      <c r="B280" s="105" t="s">
        <v>290</v>
      </c>
      <c r="C280" s="39" t="s">
        <v>310</v>
      </c>
      <c r="D280" s="105" t="s">
        <v>293</v>
      </c>
      <c r="E280" s="39" t="s">
        <v>310</v>
      </c>
      <c r="F280" s="107" t="str">
        <f t="shared" si="20"/>
        <v>05/08/2024</v>
      </c>
      <c r="G280" s="92">
        <f t="shared" si="23"/>
        <v>29</v>
      </c>
      <c r="H280" t="str">
        <f t="shared" si="22"/>
        <v>Luna Nueva</v>
      </c>
      <c r="J280">
        <f t="shared" si="21"/>
        <v>1</v>
      </c>
      <c r="K280" t="str">
        <f t="shared" si="24"/>
        <v>Lunes</v>
      </c>
      <c r="L280" s="39">
        <f t="shared" si="25"/>
        <v>5</v>
      </c>
    </row>
    <row r="281" spans="2:12">
      <c r="B281" s="105" t="s">
        <v>291</v>
      </c>
      <c r="C281" s="39" t="s">
        <v>310</v>
      </c>
      <c r="D281" s="105" t="s">
        <v>293</v>
      </c>
      <c r="E281" s="39" t="s">
        <v>310</v>
      </c>
      <c r="F281" s="107" t="str">
        <f t="shared" si="20"/>
        <v>06/08/2024</v>
      </c>
      <c r="G281" s="92">
        <f t="shared" si="23"/>
        <v>0</v>
      </c>
      <c r="H281" t="str">
        <f t="shared" si="22"/>
        <v>Luna Nueva</v>
      </c>
      <c r="J281">
        <f t="shared" si="21"/>
        <v>2</v>
      </c>
      <c r="K281" t="str">
        <f t="shared" si="24"/>
        <v>Martes</v>
      </c>
      <c r="L281" s="39">
        <f t="shared" si="25"/>
        <v>6</v>
      </c>
    </row>
    <row r="282" spans="2:12">
      <c r="B282" s="105" t="s">
        <v>292</v>
      </c>
      <c r="C282" s="39" t="s">
        <v>310</v>
      </c>
      <c r="D282" s="105" t="s">
        <v>293</v>
      </c>
      <c r="E282" s="39" t="s">
        <v>310</v>
      </c>
      <c r="F282" s="107" t="str">
        <f t="shared" si="20"/>
        <v>07/08/2024</v>
      </c>
      <c r="G282" s="92">
        <f t="shared" si="23"/>
        <v>1</v>
      </c>
      <c r="H282" t="str">
        <f t="shared" si="22"/>
        <v>Luna Nueva</v>
      </c>
      <c r="J282">
        <f t="shared" si="21"/>
        <v>3</v>
      </c>
      <c r="K282" t="str">
        <f t="shared" si="24"/>
        <v>Miércoles</v>
      </c>
      <c r="L282" s="39">
        <f t="shared" si="25"/>
        <v>7</v>
      </c>
    </row>
    <row r="283" spans="2:12">
      <c r="B283" s="105" t="s">
        <v>293</v>
      </c>
      <c r="C283" s="39" t="s">
        <v>310</v>
      </c>
      <c r="D283" s="105" t="s">
        <v>293</v>
      </c>
      <c r="E283" s="39" t="s">
        <v>310</v>
      </c>
      <c r="F283" s="107" t="str">
        <f t="shared" si="20"/>
        <v>08/08/2024</v>
      </c>
      <c r="G283" s="92">
        <f t="shared" si="23"/>
        <v>2</v>
      </c>
      <c r="H283" t="str">
        <f t="shared" si="22"/>
        <v>Luna Nueva</v>
      </c>
      <c r="J283">
        <f t="shared" si="21"/>
        <v>4</v>
      </c>
      <c r="K283" t="str">
        <f t="shared" si="24"/>
        <v>Jueves</v>
      </c>
      <c r="L283" s="39">
        <f t="shared" si="25"/>
        <v>8</v>
      </c>
    </row>
    <row r="284" spans="2:12">
      <c r="B284" s="105" t="s">
        <v>294</v>
      </c>
      <c r="C284" s="39" t="s">
        <v>310</v>
      </c>
      <c r="D284" s="105" t="s">
        <v>293</v>
      </c>
      <c r="E284" s="39" t="s">
        <v>310</v>
      </c>
      <c r="F284" s="107" t="str">
        <f t="shared" si="20"/>
        <v>09/08/2024</v>
      </c>
      <c r="G284" s="92">
        <f t="shared" si="23"/>
        <v>3</v>
      </c>
      <c r="H284" t="str">
        <f t="shared" si="22"/>
        <v>Luna Nueva</v>
      </c>
      <c r="J284">
        <f t="shared" si="21"/>
        <v>5</v>
      </c>
      <c r="K284" t="str">
        <f t="shared" si="24"/>
        <v>Viernes</v>
      </c>
      <c r="L284" s="39">
        <f t="shared" si="25"/>
        <v>9</v>
      </c>
    </row>
    <row r="285" spans="2:12">
      <c r="B285" s="105" t="s">
        <v>295</v>
      </c>
      <c r="C285" s="39" t="s">
        <v>310</v>
      </c>
      <c r="D285" s="105" t="s">
        <v>293</v>
      </c>
      <c r="E285" s="39" t="s">
        <v>310</v>
      </c>
      <c r="F285" s="107" t="str">
        <f t="shared" si="20"/>
        <v>10/08/2024</v>
      </c>
      <c r="G285" s="92">
        <f t="shared" si="23"/>
        <v>4</v>
      </c>
      <c r="H285" t="str">
        <f t="shared" si="22"/>
        <v>Luna Nueva</v>
      </c>
      <c r="J285">
        <f t="shared" si="21"/>
        <v>6</v>
      </c>
      <c r="K285" t="str">
        <f t="shared" si="24"/>
        <v>Sábado</v>
      </c>
      <c r="L285" s="39">
        <f t="shared" si="25"/>
        <v>10</v>
      </c>
    </row>
    <row r="286" spans="2:12">
      <c r="B286" s="105" t="s">
        <v>297</v>
      </c>
      <c r="C286" s="39" t="s">
        <v>310</v>
      </c>
      <c r="D286" s="105" t="s">
        <v>293</v>
      </c>
      <c r="E286" s="39" t="s">
        <v>310</v>
      </c>
      <c r="F286" s="107" t="str">
        <f t="shared" si="20"/>
        <v>11/08/2024</v>
      </c>
      <c r="G286" s="92">
        <f t="shared" si="23"/>
        <v>5</v>
      </c>
      <c r="H286" t="str">
        <f t="shared" si="22"/>
        <v>Luna Nueva</v>
      </c>
      <c r="J286">
        <f t="shared" si="21"/>
        <v>0</v>
      </c>
      <c r="K286" t="str">
        <f t="shared" si="24"/>
        <v>Domingo</v>
      </c>
      <c r="L286" s="39">
        <f t="shared" si="25"/>
        <v>11</v>
      </c>
    </row>
    <row r="287" spans="2:12">
      <c r="B287" s="105" t="s">
        <v>298</v>
      </c>
      <c r="C287" s="39" t="s">
        <v>310</v>
      </c>
      <c r="D287" s="105" t="s">
        <v>293</v>
      </c>
      <c r="E287" s="39" t="s">
        <v>310</v>
      </c>
      <c r="F287" s="107" t="str">
        <f t="shared" si="20"/>
        <v>12/08/2024</v>
      </c>
      <c r="G287" s="92">
        <f t="shared" si="23"/>
        <v>6</v>
      </c>
      <c r="H287" t="str">
        <f t="shared" si="22"/>
        <v>Cuarto Creciente</v>
      </c>
      <c r="J287">
        <f t="shared" si="21"/>
        <v>1</v>
      </c>
      <c r="K287" t="str">
        <f t="shared" si="24"/>
        <v>Lunes</v>
      </c>
      <c r="L287" s="39">
        <f t="shared" si="25"/>
        <v>12</v>
      </c>
    </row>
    <row r="288" spans="2:12">
      <c r="B288" s="105" t="s">
        <v>311</v>
      </c>
      <c r="C288" s="39" t="s">
        <v>310</v>
      </c>
      <c r="D288" s="105" t="s">
        <v>293</v>
      </c>
      <c r="E288" s="39" t="s">
        <v>310</v>
      </c>
      <c r="F288" s="107" t="str">
        <f t="shared" si="20"/>
        <v>13/08/2024</v>
      </c>
      <c r="G288" s="92">
        <f t="shared" si="23"/>
        <v>7</v>
      </c>
      <c r="H288" t="str">
        <f t="shared" si="22"/>
        <v>Cuarto Creciente</v>
      </c>
      <c r="J288">
        <f t="shared" si="21"/>
        <v>2</v>
      </c>
      <c r="K288" t="str">
        <f t="shared" si="24"/>
        <v>Martes</v>
      </c>
      <c r="L288" s="39">
        <f t="shared" si="25"/>
        <v>13</v>
      </c>
    </row>
    <row r="289" spans="2:12">
      <c r="B289" s="105" t="s">
        <v>312</v>
      </c>
      <c r="C289" s="39" t="s">
        <v>310</v>
      </c>
      <c r="D289" s="105" t="s">
        <v>293</v>
      </c>
      <c r="E289" s="39" t="s">
        <v>310</v>
      </c>
      <c r="F289" s="107" t="str">
        <f t="shared" si="20"/>
        <v>14/08/2024</v>
      </c>
      <c r="G289" s="92">
        <f t="shared" si="23"/>
        <v>8</v>
      </c>
      <c r="H289" t="str">
        <f t="shared" si="22"/>
        <v>Cuarto Creciente</v>
      </c>
      <c r="J289">
        <f t="shared" si="21"/>
        <v>3</v>
      </c>
      <c r="K289" t="str">
        <f t="shared" si="24"/>
        <v>Miércoles</v>
      </c>
      <c r="L289" s="39">
        <f t="shared" si="25"/>
        <v>14</v>
      </c>
    </row>
    <row r="290" spans="2:12">
      <c r="B290" s="105" t="s">
        <v>313</v>
      </c>
      <c r="C290" s="39" t="s">
        <v>310</v>
      </c>
      <c r="D290" s="105" t="s">
        <v>293</v>
      </c>
      <c r="E290" s="39" t="s">
        <v>310</v>
      </c>
      <c r="F290" s="107" t="str">
        <f t="shared" si="20"/>
        <v>15/08/2024</v>
      </c>
      <c r="G290" s="92">
        <f t="shared" si="23"/>
        <v>9</v>
      </c>
      <c r="H290" t="str">
        <f t="shared" si="22"/>
        <v>Cuarto Creciente</v>
      </c>
      <c r="J290">
        <f t="shared" si="21"/>
        <v>4</v>
      </c>
      <c r="K290" t="str">
        <f t="shared" si="24"/>
        <v>Jueves</v>
      </c>
      <c r="L290" s="39">
        <f t="shared" si="25"/>
        <v>15</v>
      </c>
    </row>
    <row r="291" spans="2:12">
      <c r="B291" s="105" t="s">
        <v>314</v>
      </c>
      <c r="C291" s="39" t="s">
        <v>310</v>
      </c>
      <c r="D291" s="105" t="s">
        <v>293</v>
      </c>
      <c r="E291" s="39" t="s">
        <v>310</v>
      </c>
      <c r="F291" s="107" t="str">
        <f t="shared" si="20"/>
        <v>16/08/2024</v>
      </c>
      <c r="G291" s="92">
        <f t="shared" si="23"/>
        <v>10</v>
      </c>
      <c r="H291" t="str">
        <f t="shared" si="22"/>
        <v>Cuarto Creciente</v>
      </c>
      <c r="J291">
        <f t="shared" si="21"/>
        <v>5</v>
      </c>
      <c r="K291" t="str">
        <f t="shared" si="24"/>
        <v>Viernes</v>
      </c>
      <c r="L291" s="39">
        <f t="shared" si="25"/>
        <v>16</v>
      </c>
    </row>
    <row r="292" spans="2:12">
      <c r="B292" s="105" t="s">
        <v>315</v>
      </c>
      <c r="C292" s="39" t="s">
        <v>310</v>
      </c>
      <c r="D292" s="105" t="s">
        <v>293</v>
      </c>
      <c r="E292" s="39" t="s">
        <v>310</v>
      </c>
      <c r="F292" s="107" t="str">
        <f t="shared" si="20"/>
        <v>17/08/2024</v>
      </c>
      <c r="G292" s="92">
        <f t="shared" si="23"/>
        <v>11</v>
      </c>
      <c r="H292" t="str">
        <f t="shared" si="22"/>
        <v>Cuarto Creciente</v>
      </c>
      <c r="J292">
        <f t="shared" si="21"/>
        <v>6</v>
      </c>
      <c r="K292" t="str">
        <f t="shared" si="24"/>
        <v>Sábado</v>
      </c>
      <c r="L292" s="39">
        <f t="shared" si="25"/>
        <v>17</v>
      </c>
    </row>
    <row r="293" spans="2:12">
      <c r="B293" s="105" t="s">
        <v>316</v>
      </c>
      <c r="C293" s="39" t="s">
        <v>310</v>
      </c>
      <c r="D293" s="105" t="s">
        <v>293</v>
      </c>
      <c r="E293" s="39" t="s">
        <v>310</v>
      </c>
      <c r="F293" s="107" t="str">
        <f t="shared" si="20"/>
        <v>18/08/2024</v>
      </c>
      <c r="G293" s="92">
        <f t="shared" si="23"/>
        <v>12</v>
      </c>
      <c r="H293" t="str">
        <f t="shared" si="22"/>
        <v>Cuarto Creciente</v>
      </c>
      <c r="J293">
        <f t="shared" si="21"/>
        <v>0</v>
      </c>
      <c r="K293" t="str">
        <f t="shared" si="24"/>
        <v>Domingo</v>
      </c>
      <c r="L293" s="39">
        <f t="shared" si="25"/>
        <v>18</v>
      </c>
    </row>
    <row r="294" spans="2:12">
      <c r="B294" s="105" t="s">
        <v>317</v>
      </c>
      <c r="C294" s="39" t="s">
        <v>310</v>
      </c>
      <c r="D294" s="105" t="s">
        <v>293</v>
      </c>
      <c r="E294" s="39" t="s">
        <v>310</v>
      </c>
      <c r="F294" s="107" t="str">
        <f t="shared" si="20"/>
        <v>19/08/2024</v>
      </c>
      <c r="G294" s="92">
        <f t="shared" si="23"/>
        <v>13</v>
      </c>
      <c r="H294" t="str">
        <f t="shared" si="22"/>
        <v>Cuarto Creciente</v>
      </c>
      <c r="J294">
        <f t="shared" si="21"/>
        <v>1</v>
      </c>
      <c r="K294" t="str">
        <f t="shared" si="24"/>
        <v>Lunes</v>
      </c>
      <c r="L294" s="39">
        <f t="shared" si="25"/>
        <v>19</v>
      </c>
    </row>
    <row r="295" spans="2:12">
      <c r="B295" s="105" t="s">
        <v>318</v>
      </c>
      <c r="C295" s="39" t="s">
        <v>310</v>
      </c>
      <c r="D295" s="105" t="s">
        <v>293</v>
      </c>
      <c r="E295" s="39" t="s">
        <v>310</v>
      </c>
      <c r="F295" s="107" t="str">
        <f t="shared" si="20"/>
        <v>20/08/2024</v>
      </c>
      <c r="G295" s="92">
        <f t="shared" si="23"/>
        <v>14</v>
      </c>
      <c r="H295" t="str">
        <f t="shared" si="22"/>
        <v>Luna Llena</v>
      </c>
      <c r="J295">
        <f t="shared" si="21"/>
        <v>2</v>
      </c>
      <c r="K295" t="str">
        <f t="shared" si="24"/>
        <v>Martes</v>
      </c>
      <c r="L295" s="39">
        <f t="shared" si="25"/>
        <v>20</v>
      </c>
    </row>
    <row r="296" spans="2:12">
      <c r="B296" s="105" t="s">
        <v>319</v>
      </c>
      <c r="C296" s="39" t="s">
        <v>310</v>
      </c>
      <c r="D296" s="105" t="s">
        <v>293</v>
      </c>
      <c r="E296" s="39" t="s">
        <v>310</v>
      </c>
      <c r="F296" s="107" t="str">
        <f t="shared" si="20"/>
        <v>21/08/2024</v>
      </c>
      <c r="G296" s="92">
        <f t="shared" si="23"/>
        <v>15</v>
      </c>
      <c r="H296" t="str">
        <f t="shared" si="22"/>
        <v>Luna Llena</v>
      </c>
      <c r="J296">
        <f t="shared" si="21"/>
        <v>3</v>
      </c>
      <c r="K296" t="str">
        <f t="shared" si="24"/>
        <v>Miércoles</v>
      </c>
      <c r="L296" s="39">
        <f t="shared" si="25"/>
        <v>21</v>
      </c>
    </row>
    <row r="297" spans="2:12">
      <c r="B297" s="105" t="s">
        <v>320</v>
      </c>
      <c r="C297" s="39" t="s">
        <v>310</v>
      </c>
      <c r="D297" s="105" t="s">
        <v>293</v>
      </c>
      <c r="E297" s="39" t="s">
        <v>310</v>
      </c>
      <c r="F297" s="107" t="str">
        <f t="shared" si="20"/>
        <v>22/08/2024</v>
      </c>
      <c r="G297" s="92">
        <f t="shared" si="23"/>
        <v>16</v>
      </c>
      <c r="H297" t="str">
        <f t="shared" si="22"/>
        <v>Luna Llena</v>
      </c>
      <c r="J297">
        <f t="shared" si="21"/>
        <v>4</v>
      </c>
      <c r="K297" t="str">
        <f t="shared" si="24"/>
        <v>Jueves</v>
      </c>
      <c r="L297" s="39">
        <f t="shared" si="25"/>
        <v>22</v>
      </c>
    </row>
    <row r="298" spans="2:12">
      <c r="B298" s="105" t="s">
        <v>321</v>
      </c>
      <c r="C298" s="39" t="s">
        <v>310</v>
      </c>
      <c r="D298" s="105" t="s">
        <v>293</v>
      </c>
      <c r="E298" s="39" t="s">
        <v>310</v>
      </c>
      <c r="F298" s="107" t="str">
        <f t="shared" si="20"/>
        <v>23/08/2024</v>
      </c>
      <c r="G298" s="92">
        <f t="shared" si="23"/>
        <v>17</v>
      </c>
      <c r="H298" t="str">
        <f t="shared" si="22"/>
        <v>Luna Llena</v>
      </c>
      <c r="J298">
        <f t="shared" si="21"/>
        <v>5</v>
      </c>
      <c r="K298" t="str">
        <f t="shared" si="24"/>
        <v>Viernes</v>
      </c>
      <c r="L298" s="39">
        <f t="shared" si="25"/>
        <v>23</v>
      </c>
    </row>
    <row r="299" spans="2:12">
      <c r="B299" s="105" t="s">
        <v>322</v>
      </c>
      <c r="C299" s="39" t="s">
        <v>310</v>
      </c>
      <c r="D299" s="105" t="s">
        <v>293</v>
      </c>
      <c r="E299" s="39" t="s">
        <v>310</v>
      </c>
      <c r="F299" s="107" t="str">
        <f t="shared" si="20"/>
        <v>24/08/2024</v>
      </c>
      <c r="G299" s="92">
        <f t="shared" si="23"/>
        <v>18</v>
      </c>
      <c r="H299" t="str">
        <f t="shared" si="22"/>
        <v>Luna Llena</v>
      </c>
      <c r="J299">
        <f t="shared" si="21"/>
        <v>6</v>
      </c>
      <c r="K299" t="str">
        <f t="shared" si="24"/>
        <v>Sábado</v>
      </c>
      <c r="L299" s="39">
        <f t="shared" si="25"/>
        <v>24</v>
      </c>
    </row>
    <row r="300" spans="2:12">
      <c r="B300" s="105" t="s">
        <v>323</v>
      </c>
      <c r="C300" s="39" t="s">
        <v>310</v>
      </c>
      <c r="D300" s="105" t="s">
        <v>293</v>
      </c>
      <c r="E300" s="39" t="s">
        <v>310</v>
      </c>
      <c r="F300" s="107" t="str">
        <f t="shared" si="20"/>
        <v>25/08/2024</v>
      </c>
      <c r="G300" s="92">
        <f t="shared" si="23"/>
        <v>19</v>
      </c>
      <c r="H300" t="str">
        <f t="shared" si="22"/>
        <v>Luna Llena</v>
      </c>
      <c r="J300">
        <f t="shared" si="21"/>
        <v>0</v>
      </c>
      <c r="K300" t="str">
        <f t="shared" si="24"/>
        <v>Domingo</v>
      </c>
      <c r="L300" s="39">
        <f t="shared" si="25"/>
        <v>25</v>
      </c>
    </row>
    <row r="301" spans="2:12">
      <c r="B301" s="105" t="s">
        <v>324</v>
      </c>
      <c r="C301" s="39" t="s">
        <v>310</v>
      </c>
      <c r="D301" s="105" t="s">
        <v>293</v>
      </c>
      <c r="E301" s="39" t="s">
        <v>310</v>
      </c>
      <c r="F301" s="107" t="str">
        <f t="shared" si="20"/>
        <v>26/08/2024</v>
      </c>
      <c r="G301" s="92">
        <f t="shared" si="23"/>
        <v>20</v>
      </c>
      <c r="H301" t="str">
        <f t="shared" si="22"/>
        <v>Luna Llena</v>
      </c>
      <c r="J301">
        <f t="shared" si="21"/>
        <v>1</v>
      </c>
      <c r="K301" t="str">
        <f t="shared" si="24"/>
        <v>Lunes</v>
      </c>
      <c r="L301" s="39">
        <f t="shared" si="25"/>
        <v>26</v>
      </c>
    </row>
    <row r="302" spans="2:12">
      <c r="B302" s="105" t="s">
        <v>325</v>
      </c>
      <c r="C302" s="39" t="s">
        <v>310</v>
      </c>
      <c r="D302" s="105" t="s">
        <v>293</v>
      </c>
      <c r="E302" s="39" t="s">
        <v>310</v>
      </c>
      <c r="F302" s="107" t="str">
        <f t="shared" si="20"/>
        <v>27/08/2024</v>
      </c>
      <c r="G302" s="92">
        <f t="shared" si="23"/>
        <v>21</v>
      </c>
      <c r="H302" t="str">
        <f t="shared" si="22"/>
        <v>Cuarto Menguante</v>
      </c>
      <c r="J302">
        <f t="shared" si="21"/>
        <v>2</v>
      </c>
      <c r="K302" t="str">
        <f t="shared" si="24"/>
        <v>Martes</v>
      </c>
      <c r="L302" s="39">
        <f t="shared" si="25"/>
        <v>27</v>
      </c>
    </row>
    <row r="303" spans="2:12">
      <c r="B303" s="105" t="s">
        <v>326</v>
      </c>
      <c r="C303" s="39" t="s">
        <v>310</v>
      </c>
      <c r="D303" s="105" t="s">
        <v>293</v>
      </c>
      <c r="E303" s="39" t="s">
        <v>310</v>
      </c>
      <c r="F303" s="107" t="str">
        <f t="shared" si="20"/>
        <v>28/08/2024</v>
      </c>
      <c r="G303" s="92">
        <f t="shared" si="23"/>
        <v>22</v>
      </c>
      <c r="H303" t="str">
        <f t="shared" si="22"/>
        <v>Cuarto Menguante</v>
      </c>
      <c r="J303">
        <f t="shared" si="21"/>
        <v>3</v>
      </c>
      <c r="K303" t="str">
        <f t="shared" si="24"/>
        <v>Miércoles</v>
      </c>
      <c r="L303" s="39">
        <f t="shared" si="25"/>
        <v>28</v>
      </c>
    </row>
    <row r="304" spans="2:12">
      <c r="B304" s="105">
        <v>29</v>
      </c>
      <c r="C304" s="39" t="s">
        <v>310</v>
      </c>
      <c r="D304" s="105" t="s">
        <v>293</v>
      </c>
      <c r="E304" s="39" t="s">
        <v>310</v>
      </c>
      <c r="F304" s="107" t="str">
        <f t="shared" si="20"/>
        <v>29/08/2024</v>
      </c>
      <c r="G304" s="92">
        <f t="shared" si="23"/>
        <v>23</v>
      </c>
      <c r="H304" t="str">
        <f t="shared" si="22"/>
        <v>Cuarto Menguante</v>
      </c>
      <c r="J304">
        <f t="shared" si="21"/>
        <v>4</v>
      </c>
      <c r="K304" t="str">
        <f t="shared" si="24"/>
        <v>Jueves</v>
      </c>
      <c r="L304" s="39">
        <f t="shared" si="25"/>
        <v>29</v>
      </c>
    </row>
    <row r="305" spans="2:12">
      <c r="B305" s="105">
        <v>30</v>
      </c>
      <c r="C305" s="39" t="s">
        <v>310</v>
      </c>
      <c r="D305" s="105" t="s">
        <v>293</v>
      </c>
      <c r="E305" s="39" t="s">
        <v>310</v>
      </c>
      <c r="F305" s="107" t="str">
        <f t="shared" si="20"/>
        <v>30/08/2024</v>
      </c>
      <c r="G305" s="92">
        <f t="shared" si="23"/>
        <v>24</v>
      </c>
      <c r="H305" t="str">
        <f t="shared" si="22"/>
        <v>Cuarto Menguante</v>
      </c>
      <c r="J305">
        <f t="shared" si="21"/>
        <v>5</v>
      </c>
      <c r="K305" t="str">
        <f t="shared" si="24"/>
        <v>Viernes</v>
      </c>
      <c r="L305" s="39">
        <f t="shared" si="25"/>
        <v>30</v>
      </c>
    </row>
    <row r="306" spans="2:12">
      <c r="B306" s="105">
        <v>31</v>
      </c>
      <c r="C306" s="39" t="s">
        <v>310</v>
      </c>
      <c r="D306" s="105" t="s">
        <v>293</v>
      </c>
      <c r="E306" s="39" t="s">
        <v>310</v>
      </c>
      <c r="F306" s="107" t="str">
        <f t="shared" si="20"/>
        <v>31/08/2024</v>
      </c>
      <c r="G306" s="92">
        <f t="shared" si="23"/>
        <v>25</v>
      </c>
      <c r="H306" t="str">
        <f t="shared" si="22"/>
        <v>Cuarto Menguante</v>
      </c>
      <c r="J306">
        <f t="shared" si="21"/>
        <v>6</v>
      </c>
      <c r="K306" t="str">
        <f t="shared" si="24"/>
        <v>Sábado</v>
      </c>
      <c r="L306" s="39">
        <f t="shared" si="25"/>
        <v>31</v>
      </c>
    </row>
    <row r="307" spans="2:12">
      <c r="B307" s="105" t="s">
        <v>284</v>
      </c>
      <c r="C307" s="39" t="s">
        <v>310</v>
      </c>
      <c r="D307" s="105" t="s">
        <v>294</v>
      </c>
      <c r="E307" s="39" t="s">
        <v>310</v>
      </c>
      <c r="F307" s="107" t="str">
        <f t="shared" si="20"/>
        <v>01/09/2024</v>
      </c>
      <c r="G307" s="92">
        <f t="shared" si="23"/>
        <v>27</v>
      </c>
      <c r="H307" t="str">
        <f t="shared" si="22"/>
        <v>Cuarto Menguante</v>
      </c>
      <c r="J307">
        <f t="shared" si="21"/>
        <v>0</v>
      </c>
      <c r="K307" t="str">
        <f t="shared" si="24"/>
        <v>Domingo</v>
      </c>
      <c r="L307" s="39">
        <f t="shared" si="25"/>
        <v>1</v>
      </c>
    </row>
    <row r="308" spans="2:12">
      <c r="B308" s="105" t="s">
        <v>286</v>
      </c>
      <c r="C308" s="39" t="s">
        <v>310</v>
      </c>
      <c r="D308" s="105" t="s">
        <v>294</v>
      </c>
      <c r="E308" s="39" t="s">
        <v>310</v>
      </c>
      <c r="F308" s="107" t="str">
        <f t="shared" si="20"/>
        <v>02/09/2024</v>
      </c>
      <c r="G308" s="92">
        <f t="shared" si="23"/>
        <v>28</v>
      </c>
      <c r="H308" t="str">
        <f t="shared" si="22"/>
        <v>Luna Nueva</v>
      </c>
      <c r="J308">
        <f t="shared" si="21"/>
        <v>1</v>
      </c>
      <c r="K308" t="str">
        <f t="shared" si="24"/>
        <v>Lunes</v>
      </c>
      <c r="L308" s="39">
        <f t="shared" si="25"/>
        <v>2</v>
      </c>
    </row>
    <row r="309" spans="2:12">
      <c r="B309" s="105" t="s">
        <v>287</v>
      </c>
      <c r="C309" s="39" t="s">
        <v>310</v>
      </c>
      <c r="D309" s="105" t="s">
        <v>294</v>
      </c>
      <c r="E309" s="39" t="s">
        <v>310</v>
      </c>
      <c r="F309" s="107" t="str">
        <f t="shared" si="20"/>
        <v>03/09/2024</v>
      </c>
      <c r="G309" s="92">
        <f t="shared" si="23"/>
        <v>29</v>
      </c>
      <c r="H309" t="str">
        <f t="shared" si="22"/>
        <v>Luna Nueva</v>
      </c>
      <c r="J309">
        <f t="shared" si="21"/>
        <v>2</v>
      </c>
      <c r="K309" t="str">
        <f t="shared" si="24"/>
        <v>Martes</v>
      </c>
      <c r="L309" s="39">
        <f t="shared" si="25"/>
        <v>3</v>
      </c>
    </row>
    <row r="310" spans="2:12">
      <c r="B310" s="105" t="s">
        <v>288</v>
      </c>
      <c r="C310" s="39" t="s">
        <v>310</v>
      </c>
      <c r="D310" s="105" t="s">
        <v>294</v>
      </c>
      <c r="E310" s="39" t="s">
        <v>310</v>
      </c>
      <c r="F310" s="107" t="str">
        <f t="shared" si="20"/>
        <v>04/09/2024</v>
      </c>
      <c r="G310" s="92">
        <f t="shared" si="23"/>
        <v>0</v>
      </c>
      <c r="H310" t="str">
        <f t="shared" si="22"/>
        <v>Luna Nueva</v>
      </c>
      <c r="J310">
        <f t="shared" si="21"/>
        <v>3</v>
      </c>
      <c r="K310" t="str">
        <f t="shared" si="24"/>
        <v>Miércoles</v>
      </c>
      <c r="L310" s="39">
        <f t="shared" si="25"/>
        <v>4</v>
      </c>
    </row>
    <row r="311" spans="2:12">
      <c r="B311" s="105" t="s">
        <v>290</v>
      </c>
      <c r="C311" s="39" t="s">
        <v>310</v>
      </c>
      <c r="D311" s="105" t="s">
        <v>294</v>
      </c>
      <c r="E311" s="39" t="s">
        <v>310</v>
      </c>
      <c r="F311" s="107" t="str">
        <f t="shared" si="20"/>
        <v>05/09/2024</v>
      </c>
      <c r="G311" s="92">
        <f t="shared" si="23"/>
        <v>1</v>
      </c>
      <c r="H311" t="str">
        <f t="shared" si="22"/>
        <v>Luna Nueva</v>
      </c>
      <c r="J311">
        <f t="shared" si="21"/>
        <v>4</v>
      </c>
      <c r="K311" t="str">
        <f t="shared" si="24"/>
        <v>Jueves</v>
      </c>
      <c r="L311" s="39">
        <f t="shared" si="25"/>
        <v>5</v>
      </c>
    </row>
    <row r="312" spans="2:12">
      <c r="B312" s="105" t="s">
        <v>291</v>
      </c>
      <c r="C312" s="39" t="s">
        <v>310</v>
      </c>
      <c r="D312" s="105" t="s">
        <v>294</v>
      </c>
      <c r="E312" s="39" t="s">
        <v>310</v>
      </c>
      <c r="F312" s="107" t="str">
        <f t="shared" si="20"/>
        <v>06/09/2024</v>
      </c>
      <c r="G312" s="92">
        <f t="shared" si="23"/>
        <v>2</v>
      </c>
      <c r="H312" t="str">
        <f t="shared" si="22"/>
        <v>Luna Nueva</v>
      </c>
      <c r="J312">
        <f t="shared" si="21"/>
        <v>5</v>
      </c>
      <c r="K312" t="str">
        <f t="shared" si="24"/>
        <v>Viernes</v>
      </c>
      <c r="L312" s="39">
        <f t="shared" si="25"/>
        <v>6</v>
      </c>
    </row>
    <row r="313" spans="2:12">
      <c r="B313" s="105" t="s">
        <v>292</v>
      </c>
      <c r="C313" s="39" t="s">
        <v>310</v>
      </c>
      <c r="D313" s="105" t="s">
        <v>294</v>
      </c>
      <c r="E313" s="39" t="s">
        <v>310</v>
      </c>
      <c r="F313" s="107" t="str">
        <f t="shared" si="20"/>
        <v>07/09/2024</v>
      </c>
      <c r="G313" s="92">
        <f t="shared" si="23"/>
        <v>3</v>
      </c>
      <c r="H313" t="str">
        <f t="shared" si="22"/>
        <v>Luna Nueva</v>
      </c>
      <c r="J313">
        <f t="shared" si="21"/>
        <v>6</v>
      </c>
      <c r="K313" t="str">
        <f t="shared" si="24"/>
        <v>Sábado</v>
      </c>
      <c r="L313" s="39">
        <f t="shared" si="25"/>
        <v>7</v>
      </c>
    </row>
    <row r="314" spans="2:12">
      <c r="B314" s="105" t="s">
        <v>293</v>
      </c>
      <c r="C314" s="39" t="s">
        <v>310</v>
      </c>
      <c r="D314" s="105" t="s">
        <v>294</v>
      </c>
      <c r="E314" s="39" t="s">
        <v>310</v>
      </c>
      <c r="F314" s="107" t="str">
        <f t="shared" si="20"/>
        <v>08/09/2024</v>
      </c>
      <c r="G314" s="92">
        <f t="shared" si="23"/>
        <v>4</v>
      </c>
      <c r="H314" t="str">
        <f t="shared" si="22"/>
        <v>Luna Nueva</v>
      </c>
      <c r="J314">
        <f t="shared" si="21"/>
        <v>0</v>
      </c>
      <c r="K314" t="str">
        <f t="shared" si="24"/>
        <v>Domingo</v>
      </c>
      <c r="L314" s="39">
        <f t="shared" si="25"/>
        <v>8</v>
      </c>
    </row>
    <row r="315" spans="2:12">
      <c r="B315" s="105" t="s">
        <v>294</v>
      </c>
      <c r="C315" s="39" t="s">
        <v>310</v>
      </c>
      <c r="D315" s="105" t="s">
        <v>294</v>
      </c>
      <c r="E315" s="39" t="s">
        <v>310</v>
      </c>
      <c r="F315" s="107" t="str">
        <f t="shared" ref="F315:F378" si="26">CONCATENATE(B315,C315,D315,E315,$E$37)</f>
        <v>09/09/2024</v>
      </c>
      <c r="G315" s="92">
        <f t="shared" si="23"/>
        <v>5</v>
      </c>
      <c r="H315" t="str">
        <f t="shared" si="22"/>
        <v>Luna Nueva</v>
      </c>
      <c r="J315">
        <f t="shared" si="21"/>
        <v>1</v>
      </c>
      <c r="K315" t="str">
        <f t="shared" si="24"/>
        <v>Lunes</v>
      </c>
      <c r="L315" s="39">
        <f t="shared" si="25"/>
        <v>9</v>
      </c>
    </row>
    <row r="316" spans="2:12">
      <c r="B316" s="105" t="s">
        <v>295</v>
      </c>
      <c r="C316" s="39" t="s">
        <v>310</v>
      </c>
      <c r="D316" s="105" t="s">
        <v>294</v>
      </c>
      <c r="E316" s="39" t="s">
        <v>310</v>
      </c>
      <c r="F316" s="107" t="str">
        <f t="shared" si="26"/>
        <v>10/09/2024</v>
      </c>
      <c r="G316" s="92">
        <f t="shared" si="23"/>
        <v>6</v>
      </c>
      <c r="H316" t="str">
        <f t="shared" si="22"/>
        <v>Cuarto Creciente</v>
      </c>
      <c r="J316">
        <f t="shared" si="21"/>
        <v>2</v>
      </c>
      <c r="K316" t="str">
        <f t="shared" si="24"/>
        <v>Martes</v>
      </c>
      <c r="L316" s="39">
        <f t="shared" si="25"/>
        <v>10</v>
      </c>
    </row>
    <row r="317" spans="2:12">
      <c r="B317" s="105" t="s">
        <v>297</v>
      </c>
      <c r="C317" s="39" t="s">
        <v>310</v>
      </c>
      <c r="D317" s="105" t="s">
        <v>294</v>
      </c>
      <c r="E317" s="39" t="s">
        <v>310</v>
      </c>
      <c r="F317" s="107" t="str">
        <f t="shared" si="26"/>
        <v>11/09/2024</v>
      </c>
      <c r="G317" s="92">
        <f t="shared" si="23"/>
        <v>7</v>
      </c>
      <c r="H317" t="str">
        <f t="shared" si="22"/>
        <v>Cuarto Creciente</v>
      </c>
      <c r="J317">
        <f t="shared" ref="J317:J380" si="27">IF(J316&lt;6,J316+1,0)</f>
        <v>3</v>
      </c>
      <c r="K317" t="str">
        <f t="shared" si="24"/>
        <v>Miércoles</v>
      </c>
      <c r="L317" s="39">
        <f t="shared" si="25"/>
        <v>11</v>
      </c>
    </row>
    <row r="318" spans="2:12">
      <c r="B318" s="105" t="s">
        <v>298</v>
      </c>
      <c r="C318" s="39" t="s">
        <v>310</v>
      </c>
      <c r="D318" s="105" t="s">
        <v>294</v>
      </c>
      <c r="E318" s="39" t="s">
        <v>310</v>
      </c>
      <c r="F318" s="107" t="str">
        <f t="shared" si="26"/>
        <v>12/09/2024</v>
      </c>
      <c r="G318" s="92">
        <f t="shared" si="23"/>
        <v>8</v>
      </c>
      <c r="H318" t="str">
        <f t="shared" si="22"/>
        <v>Cuarto Creciente</v>
      </c>
      <c r="J318">
        <f t="shared" si="27"/>
        <v>4</v>
      </c>
      <c r="K318" t="str">
        <f t="shared" si="24"/>
        <v>Jueves</v>
      </c>
      <c r="L318" s="39">
        <f t="shared" si="25"/>
        <v>12</v>
      </c>
    </row>
    <row r="319" spans="2:12">
      <c r="B319" s="105" t="s">
        <v>311</v>
      </c>
      <c r="C319" s="39" t="s">
        <v>310</v>
      </c>
      <c r="D319" s="105" t="s">
        <v>294</v>
      </c>
      <c r="E319" s="39" t="s">
        <v>310</v>
      </c>
      <c r="F319" s="107" t="str">
        <f t="shared" si="26"/>
        <v>13/09/2024</v>
      </c>
      <c r="G319" s="92">
        <f t="shared" si="23"/>
        <v>9</v>
      </c>
      <c r="H319" t="str">
        <f t="shared" ref="H319:H382" si="28">VLOOKUP(G319,$J$32:$K$61,2)</f>
        <v>Cuarto Creciente</v>
      </c>
      <c r="J319">
        <f t="shared" si="27"/>
        <v>5</v>
      </c>
      <c r="K319" t="str">
        <f t="shared" si="24"/>
        <v>Viernes</v>
      </c>
      <c r="L319" s="39">
        <f t="shared" si="25"/>
        <v>13</v>
      </c>
    </row>
    <row r="320" spans="2:12">
      <c r="B320" s="105" t="s">
        <v>312</v>
      </c>
      <c r="C320" s="39" t="s">
        <v>310</v>
      </c>
      <c r="D320" s="105" t="s">
        <v>294</v>
      </c>
      <c r="E320" s="39" t="s">
        <v>310</v>
      </c>
      <c r="F320" s="107" t="str">
        <f t="shared" si="26"/>
        <v>14/09/2024</v>
      </c>
      <c r="G320" s="92">
        <f t="shared" ref="G320:G383" si="29">MOD($A$69+B320+VLOOKUP(MONTH(F320),$B$35:$D$46,3),30)</f>
        <v>10</v>
      </c>
      <c r="H320" t="str">
        <f t="shared" si="28"/>
        <v>Cuarto Creciente</v>
      </c>
      <c r="J320">
        <f t="shared" si="27"/>
        <v>6</v>
      </c>
      <c r="K320" t="str">
        <f t="shared" ref="K320:K383" si="30">VLOOKUP(J320,$H$45:$I$52,2)</f>
        <v>Sábado</v>
      </c>
      <c r="L320" s="39">
        <f t="shared" ref="L320:L383" si="31">VALUE(LEFT(F320,2))</f>
        <v>14</v>
      </c>
    </row>
    <row r="321" spans="2:12">
      <c r="B321" s="105" t="s">
        <v>313</v>
      </c>
      <c r="C321" s="39" t="s">
        <v>310</v>
      </c>
      <c r="D321" s="105" t="s">
        <v>294</v>
      </c>
      <c r="E321" s="39" t="s">
        <v>310</v>
      </c>
      <c r="F321" s="107" t="str">
        <f t="shared" si="26"/>
        <v>15/09/2024</v>
      </c>
      <c r="G321" s="92">
        <f t="shared" si="29"/>
        <v>11</v>
      </c>
      <c r="H321" t="str">
        <f t="shared" si="28"/>
        <v>Cuarto Creciente</v>
      </c>
      <c r="J321">
        <f t="shared" si="27"/>
        <v>0</v>
      </c>
      <c r="K321" t="str">
        <f t="shared" si="30"/>
        <v>Domingo</v>
      </c>
      <c r="L321" s="39">
        <f t="shared" si="31"/>
        <v>15</v>
      </c>
    </row>
    <row r="322" spans="2:12">
      <c r="B322" s="105" t="s">
        <v>314</v>
      </c>
      <c r="C322" s="39" t="s">
        <v>310</v>
      </c>
      <c r="D322" s="105" t="s">
        <v>294</v>
      </c>
      <c r="E322" s="39" t="s">
        <v>310</v>
      </c>
      <c r="F322" s="107" t="str">
        <f t="shared" si="26"/>
        <v>16/09/2024</v>
      </c>
      <c r="G322" s="92">
        <f t="shared" si="29"/>
        <v>12</v>
      </c>
      <c r="H322" t="str">
        <f t="shared" si="28"/>
        <v>Cuarto Creciente</v>
      </c>
      <c r="J322">
        <f t="shared" si="27"/>
        <v>1</v>
      </c>
      <c r="K322" t="str">
        <f t="shared" si="30"/>
        <v>Lunes</v>
      </c>
      <c r="L322" s="39">
        <f t="shared" si="31"/>
        <v>16</v>
      </c>
    </row>
    <row r="323" spans="2:12">
      <c r="B323" s="105" t="s">
        <v>315</v>
      </c>
      <c r="C323" s="39" t="s">
        <v>310</v>
      </c>
      <c r="D323" s="105" t="s">
        <v>294</v>
      </c>
      <c r="E323" s="39" t="s">
        <v>310</v>
      </c>
      <c r="F323" s="107" t="str">
        <f t="shared" si="26"/>
        <v>17/09/2024</v>
      </c>
      <c r="G323" s="92">
        <f t="shared" si="29"/>
        <v>13</v>
      </c>
      <c r="H323" t="str">
        <f t="shared" si="28"/>
        <v>Cuarto Creciente</v>
      </c>
      <c r="J323">
        <f t="shared" si="27"/>
        <v>2</v>
      </c>
      <c r="K323" t="str">
        <f t="shared" si="30"/>
        <v>Martes</v>
      </c>
      <c r="L323" s="39">
        <f t="shared" si="31"/>
        <v>17</v>
      </c>
    </row>
    <row r="324" spans="2:12">
      <c r="B324" s="105" t="s">
        <v>316</v>
      </c>
      <c r="C324" s="39" t="s">
        <v>310</v>
      </c>
      <c r="D324" s="105" t="s">
        <v>294</v>
      </c>
      <c r="E324" s="39" t="s">
        <v>310</v>
      </c>
      <c r="F324" s="107" t="str">
        <f t="shared" si="26"/>
        <v>18/09/2024</v>
      </c>
      <c r="G324" s="92">
        <f t="shared" si="29"/>
        <v>14</v>
      </c>
      <c r="H324" t="str">
        <f t="shared" si="28"/>
        <v>Luna Llena</v>
      </c>
      <c r="J324">
        <f t="shared" si="27"/>
        <v>3</v>
      </c>
      <c r="K324" t="str">
        <f t="shared" si="30"/>
        <v>Miércoles</v>
      </c>
      <c r="L324" s="39">
        <f t="shared" si="31"/>
        <v>18</v>
      </c>
    </row>
    <row r="325" spans="2:12">
      <c r="B325" s="105" t="s">
        <v>317</v>
      </c>
      <c r="C325" s="39" t="s">
        <v>310</v>
      </c>
      <c r="D325" s="105" t="s">
        <v>294</v>
      </c>
      <c r="E325" s="39" t="s">
        <v>310</v>
      </c>
      <c r="F325" s="107" t="str">
        <f t="shared" si="26"/>
        <v>19/09/2024</v>
      </c>
      <c r="G325" s="92">
        <f t="shared" si="29"/>
        <v>15</v>
      </c>
      <c r="H325" t="str">
        <f t="shared" si="28"/>
        <v>Luna Llena</v>
      </c>
      <c r="J325">
        <f t="shared" si="27"/>
        <v>4</v>
      </c>
      <c r="K325" t="str">
        <f t="shared" si="30"/>
        <v>Jueves</v>
      </c>
      <c r="L325" s="39">
        <f t="shared" si="31"/>
        <v>19</v>
      </c>
    </row>
    <row r="326" spans="2:12">
      <c r="B326" s="105" t="s">
        <v>318</v>
      </c>
      <c r="C326" s="39" t="s">
        <v>310</v>
      </c>
      <c r="D326" s="105" t="s">
        <v>294</v>
      </c>
      <c r="E326" s="39" t="s">
        <v>310</v>
      </c>
      <c r="F326" s="107" t="str">
        <f t="shared" si="26"/>
        <v>20/09/2024</v>
      </c>
      <c r="G326" s="92">
        <f t="shared" si="29"/>
        <v>16</v>
      </c>
      <c r="H326" t="str">
        <f t="shared" si="28"/>
        <v>Luna Llena</v>
      </c>
      <c r="J326">
        <f t="shared" si="27"/>
        <v>5</v>
      </c>
      <c r="K326" t="str">
        <f t="shared" si="30"/>
        <v>Viernes</v>
      </c>
      <c r="L326" s="39">
        <f t="shared" si="31"/>
        <v>20</v>
      </c>
    </row>
    <row r="327" spans="2:12">
      <c r="B327" s="105" t="s">
        <v>319</v>
      </c>
      <c r="C327" s="39" t="s">
        <v>310</v>
      </c>
      <c r="D327" s="105" t="s">
        <v>294</v>
      </c>
      <c r="E327" s="39" t="s">
        <v>310</v>
      </c>
      <c r="F327" s="107" t="str">
        <f t="shared" si="26"/>
        <v>21/09/2024</v>
      </c>
      <c r="G327" s="92">
        <f t="shared" si="29"/>
        <v>17</v>
      </c>
      <c r="H327" t="str">
        <f t="shared" si="28"/>
        <v>Luna Llena</v>
      </c>
      <c r="J327">
        <f t="shared" si="27"/>
        <v>6</v>
      </c>
      <c r="K327" t="str">
        <f t="shared" si="30"/>
        <v>Sábado</v>
      </c>
      <c r="L327" s="39">
        <f t="shared" si="31"/>
        <v>21</v>
      </c>
    </row>
    <row r="328" spans="2:12">
      <c r="B328" s="105" t="s">
        <v>320</v>
      </c>
      <c r="C328" s="39" t="s">
        <v>310</v>
      </c>
      <c r="D328" s="105" t="s">
        <v>294</v>
      </c>
      <c r="E328" s="39" t="s">
        <v>310</v>
      </c>
      <c r="F328" s="107" t="str">
        <f t="shared" si="26"/>
        <v>22/09/2024</v>
      </c>
      <c r="G328" s="92">
        <f t="shared" si="29"/>
        <v>18</v>
      </c>
      <c r="H328" t="str">
        <f t="shared" si="28"/>
        <v>Luna Llena</v>
      </c>
      <c r="J328">
        <f t="shared" si="27"/>
        <v>0</v>
      </c>
      <c r="K328" t="str">
        <f t="shared" si="30"/>
        <v>Domingo</v>
      </c>
      <c r="L328" s="39">
        <f t="shared" si="31"/>
        <v>22</v>
      </c>
    </row>
    <row r="329" spans="2:12">
      <c r="B329" s="105" t="s">
        <v>321</v>
      </c>
      <c r="C329" s="39" t="s">
        <v>310</v>
      </c>
      <c r="D329" s="105" t="s">
        <v>294</v>
      </c>
      <c r="E329" s="39" t="s">
        <v>310</v>
      </c>
      <c r="F329" s="107" t="str">
        <f t="shared" si="26"/>
        <v>23/09/2024</v>
      </c>
      <c r="G329" s="92">
        <f t="shared" si="29"/>
        <v>19</v>
      </c>
      <c r="H329" t="str">
        <f t="shared" si="28"/>
        <v>Luna Llena</v>
      </c>
      <c r="J329">
        <f t="shared" si="27"/>
        <v>1</v>
      </c>
      <c r="K329" t="str">
        <f t="shared" si="30"/>
        <v>Lunes</v>
      </c>
      <c r="L329" s="39">
        <f t="shared" si="31"/>
        <v>23</v>
      </c>
    </row>
    <row r="330" spans="2:12">
      <c r="B330" s="105" t="s">
        <v>322</v>
      </c>
      <c r="C330" s="39" t="s">
        <v>310</v>
      </c>
      <c r="D330" s="105" t="s">
        <v>294</v>
      </c>
      <c r="E330" s="39" t="s">
        <v>310</v>
      </c>
      <c r="F330" s="107" t="str">
        <f t="shared" si="26"/>
        <v>24/09/2024</v>
      </c>
      <c r="G330" s="92">
        <f t="shared" si="29"/>
        <v>20</v>
      </c>
      <c r="H330" t="str">
        <f t="shared" si="28"/>
        <v>Luna Llena</v>
      </c>
      <c r="J330">
        <f t="shared" si="27"/>
        <v>2</v>
      </c>
      <c r="K330" t="str">
        <f t="shared" si="30"/>
        <v>Martes</v>
      </c>
      <c r="L330" s="39">
        <f t="shared" si="31"/>
        <v>24</v>
      </c>
    </row>
    <row r="331" spans="2:12">
      <c r="B331" s="105" t="s">
        <v>323</v>
      </c>
      <c r="C331" s="39" t="s">
        <v>310</v>
      </c>
      <c r="D331" s="105" t="s">
        <v>294</v>
      </c>
      <c r="E331" s="39" t="s">
        <v>310</v>
      </c>
      <c r="F331" s="107" t="str">
        <f t="shared" si="26"/>
        <v>25/09/2024</v>
      </c>
      <c r="G331" s="92">
        <f t="shared" si="29"/>
        <v>21</v>
      </c>
      <c r="H331" t="str">
        <f t="shared" si="28"/>
        <v>Cuarto Menguante</v>
      </c>
      <c r="J331">
        <f t="shared" si="27"/>
        <v>3</v>
      </c>
      <c r="K331" t="str">
        <f t="shared" si="30"/>
        <v>Miércoles</v>
      </c>
      <c r="L331" s="39">
        <f t="shared" si="31"/>
        <v>25</v>
      </c>
    </row>
    <row r="332" spans="2:12">
      <c r="B332" s="105" t="s">
        <v>324</v>
      </c>
      <c r="C332" s="39" t="s">
        <v>310</v>
      </c>
      <c r="D332" s="105" t="s">
        <v>294</v>
      </c>
      <c r="E332" s="39" t="s">
        <v>310</v>
      </c>
      <c r="F332" s="107" t="str">
        <f t="shared" si="26"/>
        <v>26/09/2024</v>
      </c>
      <c r="G332" s="92">
        <f t="shared" si="29"/>
        <v>22</v>
      </c>
      <c r="H332" t="str">
        <f t="shared" si="28"/>
        <v>Cuarto Menguante</v>
      </c>
      <c r="J332">
        <f t="shared" si="27"/>
        <v>4</v>
      </c>
      <c r="K332" t="str">
        <f t="shared" si="30"/>
        <v>Jueves</v>
      </c>
      <c r="L332" s="39">
        <f t="shared" si="31"/>
        <v>26</v>
      </c>
    </row>
    <row r="333" spans="2:12">
      <c r="B333" s="105" t="s">
        <v>325</v>
      </c>
      <c r="C333" s="39" t="s">
        <v>310</v>
      </c>
      <c r="D333" s="105" t="s">
        <v>294</v>
      </c>
      <c r="E333" s="39" t="s">
        <v>310</v>
      </c>
      <c r="F333" s="107" t="str">
        <f t="shared" si="26"/>
        <v>27/09/2024</v>
      </c>
      <c r="G333" s="92">
        <f t="shared" si="29"/>
        <v>23</v>
      </c>
      <c r="H333" t="str">
        <f t="shared" si="28"/>
        <v>Cuarto Menguante</v>
      </c>
      <c r="J333">
        <f t="shared" si="27"/>
        <v>5</v>
      </c>
      <c r="K333" t="str">
        <f t="shared" si="30"/>
        <v>Viernes</v>
      </c>
      <c r="L333" s="39">
        <f t="shared" si="31"/>
        <v>27</v>
      </c>
    </row>
    <row r="334" spans="2:12">
      <c r="B334" s="105" t="s">
        <v>326</v>
      </c>
      <c r="C334" s="39" t="s">
        <v>310</v>
      </c>
      <c r="D334" s="105" t="s">
        <v>294</v>
      </c>
      <c r="E334" s="39" t="s">
        <v>310</v>
      </c>
      <c r="F334" s="107" t="str">
        <f t="shared" si="26"/>
        <v>28/09/2024</v>
      </c>
      <c r="G334" s="92">
        <f t="shared" si="29"/>
        <v>24</v>
      </c>
      <c r="H334" t="str">
        <f t="shared" si="28"/>
        <v>Cuarto Menguante</v>
      </c>
      <c r="J334">
        <f t="shared" si="27"/>
        <v>6</v>
      </c>
      <c r="K334" t="str">
        <f t="shared" si="30"/>
        <v>Sábado</v>
      </c>
      <c r="L334" s="39">
        <f t="shared" si="31"/>
        <v>28</v>
      </c>
    </row>
    <row r="335" spans="2:12">
      <c r="B335" s="105">
        <v>29</v>
      </c>
      <c r="C335" s="39" t="s">
        <v>310</v>
      </c>
      <c r="D335" s="105" t="s">
        <v>294</v>
      </c>
      <c r="E335" s="39" t="s">
        <v>310</v>
      </c>
      <c r="F335" s="107" t="str">
        <f t="shared" si="26"/>
        <v>29/09/2024</v>
      </c>
      <c r="G335" s="92">
        <f t="shared" si="29"/>
        <v>25</v>
      </c>
      <c r="H335" t="str">
        <f t="shared" si="28"/>
        <v>Cuarto Menguante</v>
      </c>
      <c r="J335">
        <f t="shared" si="27"/>
        <v>0</v>
      </c>
      <c r="K335" t="str">
        <f t="shared" si="30"/>
        <v>Domingo</v>
      </c>
      <c r="L335" s="39">
        <f t="shared" si="31"/>
        <v>29</v>
      </c>
    </row>
    <row r="336" spans="2:12">
      <c r="B336" s="105">
        <v>30</v>
      </c>
      <c r="C336" s="39" t="s">
        <v>310</v>
      </c>
      <c r="D336" s="105" t="s">
        <v>294</v>
      </c>
      <c r="E336" s="39" t="s">
        <v>310</v>
      </c>
      <c r="F336" s="107" t="str">
        <f t="shared" si="26"/>
        <v>30/09/2024</v>
      </c>
      <c r="G336" s="92">
        <f t="shared" si="29"/>
        <v>26</v>
      </c>
      <c r="H336" t="str">
        <f t="shared" si="28"/>
        <v>Cuarto Menguante</v>
      </c>
      <c r="J336">
        <f t="shared" si="27"/>
        <v>1</v>
      </c>
      <c r="K336" t="str">
        <f t="shared" si="30"/>
        <v>Lunes</v>
      </c>
      <c r="L336" s="39">
        <f t="shared" si="31"/>
        <v>30</v>
      </c>
    </row>
    <row r="337" spans="2:12">
      <c r="B337" s="105" t="s">
        <v>284</v>
      </c>
      <c r="C337" s="39" t="s">
        <v>310</v>
      </c>
      <c r="D337" s="105" t="s">
        <v>295</v>
      </c>
      <c r="E337" s="39" t="s">
        <v>310</v>
      </c>
      <c r="F337" s="107" t="str">
        <f t="shared" si="26"/>
        <v>01/10/2024</v>
      </c>
      <c r="G337" s="92">
        <f t="shared" si="29"/>
        <v>27</v>
      </c>
      <c r="H337" t="str">
        <f t="shared" si="28"/>
        <v>Cuarto Menguante</v>
      </c>
      <c r="J337">
        <f t="shared" si="27"/>
        <v>2</v>
      </c>
      <c r="K337" t="str">
        <f t="shared" si="30"/>
        <v>Martes</v>
      </c>
      <c r="L337" s="39">
        <f t="shared" si="31"/>
        <v>1</v>
      </c>
    </row>
    <row r="338" spans="2:12">
      <c r="B338" s="105" t="s">
        <v>286</v>
      </c>
      <c r="C338" s="39" t="s">
        <v>310</v>
      </c>
      <c r="D338" s="105" t="s">
        <v>295</v>
      </c>
      <c r="E338" s="39" t="s">
        <v>310</v>
      </c>
      <c r="F338" s="107" t="str">
        <f t="shared" si="26"/>
        <v>02/10/2024</v>
      </c>
      <c r="G338" s="92">
        <f t="shared" si="29"/>
        <v>28</v>
      </c>
      <c r="H338" t="str">
        <f t="shared" si="28"/>
        <v>Luna Nueva</v>
      </c>
      <c r="J338">
        <f t="shared" si="27"/>
        <v>3</v>
      </c>
      <c r="K338" t="str">
        <f t="shared" si="30"/>
        <v>Miércoles</v>
      </c>
      <c r="L338" s="39">
        <f t="shared" si="31"/>
        <v>2</v>
      </c>
    </row>
    <row r="339" spans="2:12">
      <c r="B339" s="105" t="s">
        <v>287</v>
      </c>
      <c r="C339" s="39" t="s">
        <v>310</v>
      </c>
      <c r="D339" s="105" t="s">
        <v>295</v>
      </c>
      <c r="E339" s="39" t="s">
        <v>310</v>
      </c>
      <c r="F339" s="107" t="str">
        <f t="shared" si="26"/>
        <v>03/10/2024</v>
      </c>
      <c r="G339" s="92">
        <f t="shared" si="29"/>
        <v>29</v>
      </c>
      <c r="H339" t="str">
        <f t="shared" si="28"/>
        <v>Luna Nueva</v>
      </c>
      <c r="J339">
        <f t="shared" si="27"/>
        <v>4</v>
      </c>
      <c r="K339" t="str">
        <f t="shared" si="30"/>
        <v>Jueves</v>
      </c>
      <c r="L339" s="39">
        <f t="shared" si="31"/>
        <v>3</v>
      </c>
    </row>
    <row r="340" spans="2:12">
      <c r="B340" s="105" t="s">
        <v>288</v>
      </c>
      <c r="C340" s="39" t="s">
        <v>310</v>
      </c>
      <c r="D340" s="105" t="s">
        <v>295</v>
      </c>
      <c r="E340" s="39" t="s">
        <v>310</v>
      </c>
      <c r="F340" s="107" t="str">
        <f t="shared" si="26"/>
        <v>04/10/2024</v>
      </c>
      <c r="G340" s="92">
        <f t="shared" si="29"/>
        <v>0</v>
      </c>
      <c r="H340" t="str">
        <f t="shared" si="28"/>
        <v>Luna Nueva</v>
      </c>
      <c r="J340">
        <f t="shared" si="27"/>
        <v>5</v>
      </c>
      <c r="K340" t="str">
        <f t="shared" si="30"/>
        <v>Viernes</v>
      </c>
      <c r="L340" s="39">
        <f t="shared" si="31"/>
        <v>4</v>
      </c>
    </row>
    <row r="341" spans="2:12">
      <c r="B341" s="105" t="s">
        <v>290</v>
      </c>
      <c r="C341" s="39" t="s">
        <v>310</v>
      </c>
      <c r="D341" s="105" t="s">
        <v>295</v>
      </c>
      <c r="E341" s="39" t="s">
        <v>310</v>
      </c>
      <c r="F341" s="107" t="str">
        <f t="shared" si="26"/>
        <v>05/10/2024</v>
      </c>
      <c r="G341" s="92">
        <f t="shared" si="29"/>
        <v>1</v>
      </c>
      <c r="H341" t="str">
        <f t="shared" si="28"/>
        <v>Luna Nueva</v>
      </c>
      <c r="J341">
        <f t="shared" si="27"/>
        <v>6</v>
      </c>
      <c r="K341" t="str">
        <f t="shared" si="30"/>
        <v>Sábado</v>
      </c>
      <c r="L341" s="39">
        <f t="shared" si="31"/>
        <v>5</v>
      </c>
    </row>
    <row r="342" spans="2:12">
      <c r="B342" s="105" t="s">
        <v>291</v>
      </c>
      <c r="C342" s="39" t="s">
        <v>310</v>
      </c>
      <c r="D342" s="105" t="s">
        <v>295</v>
      </c>
      <c r="E342" s="39" t="s">
        <v>310</v>
      </c>
      <c r="F342" s="107" t="str">
        <f t="shared" si="26"/>
        <v>06/10/2024</v>
      </c>
      <c r="G342" s="92">
        <f t="shared" si="29"/>
        <v>2</v>
      </c>
      <c r="H342" t="str">
        <f t="shared" si="28"/>
        <v>Luna Nueva</v>
      </c>
      <c r="J342">
        <f t="shared" si="27"/>
        <v>0</v>
      </c>
      <c r="K342" t="str">
        <f t="shared" si="30"/>
        <v>Domingo</v>
      </c>
      <c r="L342" s="39">
        <f t="shared" si="31"/>
        <v>6</v>
      </c>
    </row>
    <row r="343" spans="2:12">
      <c r="B343" s="105" t="s">
        <v>292</v>
      </c>
      <c r="C343" s="39" t="s">
        <v>310</v>
      </c>
      <c r="D343" s="105" t="s">
        <v>295</v>
      </c>
      <c r="E343" s="39" t="s">
        <v>310</v>
      </c>
      <c r="F343" s="107" t="str">
        <f t="shared" si="26"/>
        <v>07/10/2024</v>
      </c>
      <c r="G343" s="92">
        <f t="shared" si="29"/>
        <v>3</v>
      </c>
      <c r="H343" t="str">
        <f t="shared" si="28"/>
        <v>Luna Nueva</v>
      </c>
      <c r="J343">
        <f t="shared" si="27"/>
        <v>1</v>
      </c>
      <c r="K343" t="str">
        <f t="shared" si="30"/>
        <v>Lunes</v>
      </c>
      <c r="L343" s="39">
        <f t="shared" si="31"/>
        <v>7</v>
      </c>
    </row>
    <row r="344" spans="2:12">
      <c r="B344" s="105" t="s">
        <v>293</v>
      </c>
      <c r="C344" s="39" t="s">
        <v>310</v>
      </c>
      <c r="D344" s="105" t="s">
        <v>295</v>
      </c>
      <c r="E344" s="39" t="s">
        <v>310</v>
      </c>
      <c r="F344" s="107" t="str">
        <f t="shared" si="26"/>
        <v>08/10/2024</v>
      </c>
      <c r="G344" s="92">
        <f t="shared" si="29"/>
        <v>4</v>
      </c>
      <c r="H344" t="str">
        <f t="shared" si="28"/>
        <v>Luna Nueva</v>
      </c>
      <c r="J344">
        <f t="shared" si="27"/>
        <v>2</v>
      </c>
      <c r="K344" t="str">
        <f t="shared" si="30"/>
        <v>Martes</v>
      </c>
      <c r="L344" s="39">
        <f t="shared" si="31"/>
        <v>8</v>
      </c>
    </row>
    <row r="345" spans="2:12">
      <c r="B345" s="105" t="s">
        <v>294</v>
      </c>
      <c r="C345" s="39" t="s">
        <v>310</v>
      </c>
      <c r="D345" s="105" t="s">
        <v>295</v>
      </c>
      <c r="E345" s="39" t="s">
        <v>310</v>
      </c>
      <c r="F345" s="107" t="str">
        <f t="shared" si="26"/>
        <v>09/10/2024</v>
      </c>
      <c r="G345" s="92">
        <f t="shared" si="29"/>
        <v>5</v>
      </c>
      <c r="H345" t="str">
        <f t="shared" si="28"/>
        <v>Luna Nueva</v>
      </c>
      <c r="J345">
        <f t="shared" si="27"/>
        <v>3</v>
      </c>
      <c r="K345" t="str">
        <f t="shared" si="30"/>
        <v>Miércoles</v>
      </c>
      <c r="L345" s="39">
        <f t="shared" si="31"/>
        <v>9</v>
      </c>
    </row>
    <row r="346" spans="2:12">
      <c r="B346" s="105" t="s">
        <v>295</v>
      </c>
      <c r="C346" s="39" t="s">
        <v>310</v>
      </c>
      <c r="D346" s="105" t="s">
        <v>295</v>
      </c>
      <c r="E346" s="39" t="s">
        <v>310</v>
      </c>
      <c r="F346" s="107" t="str">
        <f t="shared" si="26"/>
        <v>10/10/2024</v>
      </c>
      <c r="G346" s="92">
        <f t="shared" si="29"/>
        <v>6</v>
      </c>
      <c r="H346" t="str">
        <f t="shared" si="28"/>
        <v>Cuarto Creciente</v>
      </c>
      <c r="J346">
        <f t="shared" si="27"/>
        <v>4</v>
      </c>
      <c r="K346" t="str">
        <f t="shared" si="30"/>
        <v>Jueves</v>
      </c>
      <c r="L346" s="39">
        <f t="shared" si="31"/>
        <v>10</v>
      </c>
    </row>
    <row r="347" spans="2:12">
      <c r="B347" s="105" t="s">
        <v>297</v>
      </c>
      <c r="C347" s="39" t="s">
        <v>310</v>
      </c>
      <c r="D347" s="105" t="s">
        <v>295</v>
      </c>
      <c r="E347" s="39" t="s">
        <v>310</v>
      </c>
      <c r="F347" s="107" t="str">
        <f t="shared" si="26"/>
        <v>11/10/2024</v>
      </c>
      <c r="G347" s="92">
        <f t="shared" si="29"/>
        <v>7</v>
      </c>
      <c r="H347" t="str">
        <f t="shared" si="28"/>
        <v>Cuarto Creciente</v>
      </c>
      <c r="J347">
        <f t="shared" si="27"/>
        <v>5</v>
      </c>
      <c r="K347" t="str">
        <f t="shared" si="30"/>
        <v>Viernes</v>
      </c>
      <c r="L347" s="39">
        <f t="shared" si="31"/>
        <v>11</v>
      </c>
    </row>
    <row r="348" spans="2:12">
      <c r="B348" s="105" t="s">
        <v>298</v>
      </c>
      <c r="C348" s="39" t="s">
        <v>310</v>
      </c>
      <c r="D348" s="105" t="s">
        <v>295</v>
      </c>
      <c r="E348" s="39" t="s">
        <v>310</v>
      </c>
      <c r="F348" s="107" t="str">
        <f t="shared" si="26"/>
        <v>12/10/2024</v>
      </c>
      <c r="G348" s="92">
        <f t="shared" si="29"/>
        <v>8</v>
      </c>
      <c r="H348" t="str">
        <f t="shared" si="28"/>
        <v>Cuarto Creciente</v>
      </c>
      <c r="J348">
        <f t="shared" si="27"/>
        <v>6</v>
      </c>
      <c r="K348" t="str">
        <f t="shared" si="30"/>
        <v>Sábado</v>
      </c>
      <c r="L348" s="39">
        <f t="shared" si="31"/>
        <v>12</v>
      </c>
    </row>
    <row r="349" spans="2:12">
      <c r="B349" s="105" t="s">
        <v>311</v>
      </c>
      <c r="C349" s="39" t="s">
        <v>310</v>
      </c>
      <c r="D349" s="105" t="s">
        <v>295</v>
      </c>
      <c r="E349" s="39" t="s">
        <v>310</v>
      </c>
      <c r="F349" s="107" t="str">
        <f t="shared" si="26"/>
        <v>13/10/2024</v>
      </c>
      <c r="G349" s="92">
        <f t="shared" si="29"/>
        <v>9</v>
      </c>
      <c r="H349" t="str">
        <f t="shared" si="28"/>
        <v>Cuarto Creciente</v>
      </c>
      <c r="J349">
        <f t="shared" si="27"/>
        <v>0</v>
      </c>
      <c r="K349" t="str">
        <f t="shared" si="30"/>
        <v>Domingo</v>
      </c>
      <c r="L349" s="39">
        <f t="shared" si="31"/>
        <v>13</v>
      </c>
    </row>
    <row r="350" spans="2:12">
      <c r="B350" s="105" t="s">
        <v>312</v>
      </c>
      <c r="C350" s="39" t="s">
        <v>310</v>
      </c>
      <c r="D350" s="105" t="s">
        <v>295</v>
      </c>
      <c r="E350" s="39" t="s">
        <v>310</v>
      </c>
      <c r="F350" s="107" t="str">
        <f t="shared" si="26"/>
        <v>14/10/2024</v>
      </c>
      <c r="G350" s="92">
        <f t="shared" si="29"/>
        <v>10</v>
      </c>
      <c r="H350" t="str">
        <f t="shared" si="28"/>
        <v>Cuarto Creciente</v>
      </c>
      <c r="J350">
        <f t="shared" si="27"/>
        <v>1</v>
      </c>
      <c r="K350" t="str">
        <f t="shared" si="30"/>
        <v>Lunes</v>
      </c>
      <c r="L350" s="39">
        <f t="shared" si="31"/>
        <v>14</v>
      </c>
    </row>
    <row r="351" spans="2:12">
      <c r="B351" s="105" t="s">
        <v>313</v>
      </c>
      <c r="C351" s="39" t="s">
        <v>310</v>
      </c>
      <c r="D351" s="105" t="s">
        <v>295</v>
      </c>
      <c r="E351" s="39" t="s">
        <v>310</v>
      </c>
      <c r="F351" s="107" t="str">
        <f t="shared" si="26"/>
        <v>15/10/2024</v>
      </c>
      <c r="G351" s="92">
        <f t="shared" si="29"/>
        <v>11</v>
      </c>
      <c r="H351" t="str">
        <f t="shared" si="28"/>
        <v>Cuarto Creciente</v>
      </c>
      <c r="J351">
        <f t="shared" si="27"/>
        <v>2</v>
      </c>
      <c r="K351" t="str">
        <f t="shared" si="30"/>
        <v>Martes</v>
      </c>
      <c r="L351" s="39">
        <f t="shared" si="31"/>
        <v>15</v>
      </c>
    </row>
    <row r="352" spans="2:12">
      <c r="B352" s="105" t="s">
        <v>314</v>
      </c>
      <c r="C352" s="39" t="s">
        <v>310</v>
      </c>
      <c r="D352" s="105" t="s">
        <v>295</v>
      </c>
      <c r="E352" s="39" t="s">
        <v>310</v>
      </c>
      <c r="F352" s="107" t="str">
        <f t="shared" si="26"/>
        <v>16/10/2024</v>
      </c>
      <c r="G352" s="92">
        <f t="shared" si="29"/>
        <v>12</v>
      </c>
      <c r="H352" t="str">
        <f t="shared" si="28"/>
        <v>Cuarto Creciente</v>
      </c>
      <c r="J352">
        <f t="shared" si="27"/>
        <v>3</v>
      </c>
      <c r="K352" t="str">
        <f t="shared" si="30"/>
        <v>Miércoles</v>
      </c>
      <c r="L352" s="39">
        <f t="shared" si="31"/>
        <v>16</v>
      </c>
    </row>
    <row r="353" spans="2:12">
      <c r="B353" s="105" t="s">
        <v>315</v>
      </c>
      <c r="C353" s="39" t="s">
        <v>310</v>
      </c>
      <c r="D353" s="105" t="s">
        <v>295</v>
      </c>
      <c r="E353" s="39" t="s">
        <v>310</v>
      </c>
      <c r="F353" s="107" t="str">
        <f t="shared" si="26"/>
        <v>17/10/2024</v>
      </c>
      <c r="G353" s="92">
        <f t="shared" si="29"/>
        <v>13</v>
      </c>
      <c r="H353" t="str">
        <f t="shared" si="28"/>
        <v>Cuarto Creciente</v>
      </c>
      <c r="J353">
        <f t="shared" si="27"/>
        <v>4</v>
      </c>
      <c r="K353" t="str">
        <f t="shared" si="30"/>
        <v>Jueves</v>
      </c>
      <c r="L353" s="39">
        <f t="shared" si="31"/>
        <v>17</v>
      </c>
    </row>
    <row r="354" spans="2:12">
      <c r="B354" s="105" t="s">
        <v>316</v>
      </c>
      <c r="C354" s="39" t="s">
        <v>310</v>
      </c>
      <c r="D354" s="105" t="s">
        <v>295</v>
      </c>
      <c r="E354" s="39" t="s">
        <v>310</v>
      </c>
      <c r="F354" s="107" t="str">
        <f t="shared" si="26"/>
        <v>18/10/2024</v>
      </c>
      <c r="G354" s="92">
        <f t="shared" si="29"/>
        <v>14</v>
      </c>
      <c r="H354" t="str">
        <f t="shared" si="28"/>
        <v>Luna Llena</v>
      </c>
      <c r="J354">
        <f t="shared" si="27"/>
        <v>5</v>
      </c>
      <c r="K354" t="str">
        <f t="shared" si="30"/>
        <v>Viernes</v>
      </c>
      <c r="L354" s="39">
        <f t="shared" si="31"/>
        <v>18</v>
      </c>
    </row>
    <row r="355" spans="2:12">
      <c r="B355" s="105" t="s">
        <v>317</v>
      </c>
      <c r="C355" s="39" t="s">
        <v>310</v>
      </c>
      <c r="D355" s="105" t="s">
        <v>295</v>
      </c>
      <c r="E355" s="39" t="s">
        <v>310</v>
      </c>
      <c r="F355" s="107" t="str">
        <f t="shared" si="26"/>
        <v>19/10/2024</v>
      </c>
      <c r="G355" s="92">
        <f t="shared" si="29"/>
        <v>15</v>
      </c>
      <c r="H355" t="str">
        <f t="shared" si="28"/>
        <v>Luna Llena</v>
      </c>
      <c r="J355">
        <f t="shared" si="27"/>
        <v>6</v>
      </c>
      <c r="K355" t="str">
        <f t="shared" si="30"/>
        <v>Sábado</v>
      </c>
      <c r="L355" s="39">
        <f t="shared" si="31"/>
        <v>19</v>
      </c>
    </row>
    <row r="356" spans="2:12">
      <c r="B356" s="105" t="s">
        <v>318</v>
      </c>
      <c r="C356" s="39" t="s">
        <v>310</v>
      </c>
      <c r="D356" s="105" t="s">
        <v>295</v>
      </c>
      <c r="E356" s="39" t="s">
        <v>310</v>
      </c>
      <c r="F356" s="107" t="str">
        <f t="shared" si="26"/>
        <v>20/10/2024</v>
      </c>
      <c r="G356" s="92">
        <f t="shared" si="29"/>
        <v>16</v>
      </c>
      <c r="H356" t="str">
        <f t="shared" si="28"/>
        <v>Luna Llena</v>
      </c>
      <c r="J356">
        <f t="shared" si="27"/>
        <v>0</v>
      </c>
      <c r="K356" t="str">
        <f t="shared" si="30"/>
        <v>Domingo</v>
      </c>
      <c r="L356" s="39">
        <f t="shared" si="31"/>
        <v>20</v>
      </c>
    </row>
    <row r="357" spans="2:12">
      <c r="B357" s="105" t="s">
        <v>319</v>
      </c>
      <c r="C357" s="39" t="s">
        <v>310</v>
      </c>
      <c r="D357" s="105" t="s">
        <v>295</v>
      </c>
      <c r="E357" s="39" t="s">
        <v>310</v>
      </c>
      <c r="F357" s="107" t="str">
        <f t="shared" si="26"/>
        <v>21/10/2024</v>
      </c>
      <c r="G357" s="92">
        <f t="shared" si="29"/>
        <v>17</v>
      </c>
      <c r="H357" t="str">
        <f t="shared" si="28"/>
        <v>Luna Llena</v>
      </c>
      <c r="J357">
        <f t="shared" si="27"/>
        <v>1</v>
      </c>
      <c r="K357" t="str">
        <f t="shared" si="30"/>
        <v>Lunes</v>
      </c>
      <c r="L357" s="39">
        <f t="shared" si="31"/>
        <v>21</v>
      </c>
    </row>
    <row r="358" spans="2:12">
      <c r="B358" s="105" t="s">
        <v>320</v>
      </c>
      <c r="C358" s="39" t="s">
        <v>310</v>
      </c>
      <c r="D358" s="105" t="s">
        <v>295</v>
      </c>
      <c r="E358" s="39" t="s">
        <v>310</v>
      </c>
      <c r="F358" s="107" t="str">
        <f t="shared" si="26"/>
        <v>22/10/2024</v>
      </c>
      <c r="G358" s="92">
        <f t="shared" si="29"/>
        <v>18</v>
      </c>
      <c r="H358" t="str">
        <f t="shared" si="28"/>
        <v>Luna Llena</v>
      </c>
      <c r="J358">
        <f t="shared" si="27"/>
        <v>2</v>
      </c>
      <c r="K358" t="str">
        <f t="shared" si="30"/>
        <v>Martes</v>
      </c>
      <c r="L358" s="39">
        <f t="shared" si="31"/>
        <v>22</v>
      </c>
    </row>
    <row r="359" spans="2:12">
      <c r="B359" s="105" t="s">
        <v>321</v>
      </c>
      <c r="C359" s="39" t="s">
        <v>310</v>
      </c>
      <c r="D359" s="105" t="s">
        <v>295</v>
      </c>
      <c r="E359" s="39" t="s">
        <v>310</v>
      </c>
      <c r="F359" s="107" t="str">
        <f t="shared" si="26"/>
        <v>23/10/2024</v>
      </c>
      <c r="G359" s="92">
        <f t="shared" si="29"/>
        <v>19</v>
      </c>
      <c r="H359" t="str">
        <f t="shared" si="28"/>
        <v>Luna Llena</v>
      </c>
      <c r="J359">
        <f t="shared" si="27"/>
        <v>3</v>
      </c>
      <c r="K359" t="str">
        <f t="shared" si="30"/>
        <v>Miércoles</v>
      </c>
      <c r="L359" s="39">
        <f t="shared" si="31"/>
        <v>23</v>
      </c>
    </row>
    <row r="360" spans="2:12">
      <c r="B360" s="105" t="s">
        <v>322</v>
      </c>
      <c r="C360" s="39" t="s">
        <v>310</v>
      </c>
      <c r="D360" s="105" t="s">
        <v>295</v>
      </c>
      <c r="E360" s="39" t="s">
        <v>310</v>
      </c>
      <c r="F360" s="107" t="str">
        <f t="shared" si="26"/>
        <v>24/10/2024</v>
      </c>
      <c r="G360" s="92">
        <f t="shared" si="29"/>
        <v>20</v>
      </c>
      <c r="H360" t="str">
        <f t="shared" si="28"/>
        <v>Luna Llena</v>
      </c>
      <c r="J360">
        <f t="shared" si="27"/>
        <v>4</v>
      </c>
      <c r="K360" t="str">
        <f t="shared" si="30"/>
        <v>Jueves</v>
      </c>
      <c r="L360" s="39">
        <f t="shared" si="31"/>
        <v>24</v>
      </c>
    </row>
    <row r="361" spans="2:12">
      <c r="B361" s="105" t="s">
        <v>323</v>
      </c>
      <c r="C361" s="39" t="s">
        <v>310</v>
      </c>
      <c r="D361" s="105" t="s">
        <v>295</v>
      </c>
      <c r="E361" s="39" t="s">
        <v>310</v>
      </c>
      <c r="F361" s="107" t="str">
        <f t="shared" si="26"/>
        <v>25/10/2024</v>
      </c>
      <c r="G361" s="92">
        <f t="shared" si="29"/>
        <v>21</v>
      </c>
      <c r="H361" t="str">
        <f t="shared" si="28"/>
        <v>Cuarto Menguante</v>
      </c>
      <c r="J361">
        <f t="shared" si="27"/>
        <v>5</v>
      </c>
      <c r="K361" t="str">
        <f t="shared" si="30"/>
        <v>Viernes</v>
      </c>
      <c r="L361" s="39">
        <f t="shared" si="31"/>
        <v>25</v>
      </c>
    </row>
    <row r="362" spans="2:12">
      <c r="B362" s="105" t="s">
        <v>324</v>
      </c>
      <c r="C362" s="39" t="s">
        <v>310</v>
      </c>
      <c r="D362" s="105" t="s">
        <v>295</v>
      </c>
      <c r="E362" s="39" t="s">
        <v>310</v>
      </c>
      <c r="F362" s="107" t="str">
        <f t="shared" si="26"/>
        <v>26/10/2024</v>
      </c>
      <c r="G362" s="92">
        <f t="shared" si="29"/>
        <v>22</v>
      </c>
      <c r="H362" t="str">
        <f t="shared" si="28"/>
        <v>Cuarto Menguante</v>
      </c>
      <c r="J362">
        <f t="shared" si="27"/>
        <v>6</v>
      </c>
      <c r="K362" t="str">
        <f t="shared" si="30"/>
        <v>Sábado</v>
      </c>
      <c r="L362" s="39">
        <f t="shared" si="31"/>
        <v>26</v>
      </c>
    </row>
    <row r="363" spans="2:12">
      <c r="B363" s="105" t="s">
        <v>325</v>
      </c>
      <c r="C363" s="39" t="s">
        <v>310</v>
      </c>
      <c r="D363" s="105" t="s">
        <v>295</v>
      </c>
      <c r="E363" s="39" t="s">
        <v>310</v>
      </c>
      <c r="F363" s="107" t="str">
        <f t="shared" si="26"/>
        <v>27/10/2024</v>
      </c>
      <c r="G363" s="92">
        <f t="shared" si="29"/>
        <v>23</v>
      </c>
      <c r="H363" t="str">
        <f t="shared" si="28"/>
        <v>Cuarto Menguante</v>
      </c>
      <c r="J363">
        <f t="shared" si="27"/>
        <v>0</v>
      </c>
      <c r="K363" t="str">
        <f t="shared" si="30"/>
        <v>Domingo</v>
      </c>
      <c r="L363" s="39">
        <f t="shared" si="31"/>
        <v>27</v>
      </c>
    </row>
    <row r="364" spans="2:12">
      <c r="B364" s="105" t="s">
        <v>326</v>
      </c>
      <c r="C364" s="39" t="s">
        <v>310</v>
      </c>
      <c r="D364" s="105" t="s">
        <v>295</v>
      </c>
      <c r="E364" s="39" t="s">
        <v>310</v>
      </c>
      <c r="F364" s="107" t="str">
        <f t="shared" si="26"/>
        <v>28/10/2024</v>
      </c>
      <c r="G364" s="92">
        <f t="shared" si="29"/>
        <v>24</v>
      </c>
      <c r="H364" t="str">
        <f t="shared" si="28"/>
        <v>Cuarto Menguante</v>
      </c>
      <c r="J364">
        <f t="shared" si="27"/>
        <v>1</v>
      </c>
      <c r="K364" t="str">
        <f t="shared" si="30"/>
        <v>Lunes</v>
      </c>
      <c r="L364" s="39">
        <f t="shared" si="31"/>
        <v>28</v>
      </c>
    </row>
    <row r="365" spans="2:12">
      <c r="B365" s="105">
        <v>29</v>
      </c>
      <c r="C365" s="39" t="s">
        <v>310</v>
      </c>
      <c r="D365" s="105" t="s">
        <v>295</v>
      </c>
      <c r="E365" s="39" t="s">
        <v>310</v>
      </c>
      <c r="F365" s="107" t="str">
        <f t="shared" si="26"/>
        <v>29/10/2024</v>
      </c>
      <c r="G365" s="92">
        <f t="shared" si="29"/>
        <v>25</v>
      </c>
      <c r="H365" t="str">
        <f t="shared" si="28"/>
        <v>Cuarto Menguante</v>
      </c>
      <c r="J365">
        <f t="shared" si="27"/>
        <v>2</v>
      </c>
      <c r="K365" t="str">
        <f t="shared" si="30"/>
        <v>Martes</v>
      </c>
      <c r="L365" s="39">
        <f t="shared" si="31"/>
        <v>29</v>
      </c>
    </row>
    <row r="366" spans="2:12">
      <c r="B366" s="105">
        <v>30</v>
      </c>
      <c r="C366" s="39" t="s">
        <v>310</v>
      </c>
      <c r="D366" s="105" t="s">
        <v>295</v>
      </c>
      <c r="E366" s="39" t="s">
        <v>310</v>
      </c>
      <c r="F366" s="107" t="str">
        <f t="shared" si="26"/>
        <v>30/10/2024</v>
      </c>
      <c r="G366" s="92">
        <f t="shared" si="29"/>
        <v>26</v>
      </c>
      <c r="H366" t="str">
        <f t="shared" si="28"/>
        <v>Cuarto Menguante</v>
      </c>
      <c r="J366">
        <f t="shared" si="27"/>
        <v>3</v>
      </c>
      <c r="K366" t="str">
        <f t="shared" si="30"/>
        <v>Miércoles</v>
      </c>
      <c r="L366" s="39">
        <f t="shared" si="31"/>
        <v>30</v>
      </c>
    </row>
    <row r="367" spans="2:12">
      <c r="B367" s="105">
        <v>31</v>
      </c>
      <c r="C367" s="39" t="s">
        <v>310</v>
      </c>
      <c r="D367" s="105" t="s">
        <v>295</v>
      </c>
      <c r="E367" s="39" t="s">
        <v>310</v>
      </c>
      <c r="F367" s="107" t="str">
        <f t="shared" si="26"/>
        <v>31/10/2024</v>
      </c>
      <c r="G367" s="92">
        <f t="shared" si="29"/>
        <v>27</v>
      </c>
      <c r="H367" t="str">
        <f t="shared" si="28"/>
        <v>Cuarto Menguante</v>
      </c>
      <c r="J367">
        <f t="shared" si="27"/>
        <v>4</v>
      </c>
      <c r="K367" t="str">
        <f t="shared" si="30"/>
        <v>Jueves</v>
      </c>
      <c r="L367" s="39">
        <f t="shared" si="31"/>
        <v>31</v>
      </c>
    </row>
    <row r="368" spans="2:12">
      <c r="B368" s="105" t="s">
        <v>284</v>
      </c>
      <c r="C368" s="39" t="s">
        <v>310</v>
      </c>
      <c r="D368" s="105" t="s">
        <v>297</v>
      </c>
      <c r="E368" s="39" t="s">
        <v>310</v>
      </c>
      <c r="F368" s="107" t="str">
        <f t="shared" si="26"/>
        <v>01/11/2024</v>
      </c>
      <c r="G368" s="92">
        <f t="shared" si="29"/>
        <v>29</v>
      </c>
      <c r="H368" t="str">
        <f t="shared" si="28"/>
        <v>Luna Nueva</v>
      </c>
      <c r="J368">
        <f t="shared" si="27"/>
        <v>5</v>
      </c>
      <c r="K368" t="str">
        <f t="shared" si="30"/>
        <v>Viernes</v>
      </c>
      <c r="L368" s="39">
        <f t="shared" si="31"/>
        <v>1</v>
      </c>
    </row>
    <row r="369" spans="2:12">
      <c r="B369" s="105" t="s">
        <v>286</v>
      </c>
      <c r="C369" s="39" t="s">
        <v>310</v>
      </c>
      <c r="D369" s="105" t="s">
        <v>297</v>
      </c>
      <c r="E369" s="39" t="s">
        <v>310</v>
      </c>
      <c r="F369" s="107" t="str">
        <f t="shared" si="26"/>
        <v>02/11/2024</v>
      </c>
      <c r="G369" s="92">
        <f t="shared" si="29"/>
        <v>0</v>
      </c>
      <c r="H369" t="str">
        <f t="shared" si="28"/>
        <v>Luna Nueva</v>
      </c>
      <c r="J369">
        <f t="shared" si="27"/>
        <v>6</v>
      </c>
      <c r="K369" t="str">
        <f t="shared" si="30"/>
        <v>Sábado</v>
      </c>
      <c r="L369" s="39">
        <f t="shared" si="31"/>
        <v>2</v>
      </c>
    </row>
    <row r="370" spans="2:12">
      <c r="B370" s="105" t="s">
        <v>287</v>
      </c>
      <c r="C370" s="39" t="s">
        <v>310</v>
      </c>
      <c r="D370" s="105" t="s">
        <v>297</v>
      </c>
      <c r="E370" s="39" t="s">
        <v>310</v>
      </c>
      <c r="F370" s="107" t="str">
        <f t="shared" si="26"/>
        <v>03/11/2024</v>
      </c>
      <c r="G370" s="92">
        <f t="shared" si="29"/>
        <v>1</v>
      </c>
      <c r="H370" t="str">
        <f t="shared" si="28"/>
        <v>Luna Nueva</v>
      </c>
      <c r="J370">
        <f t="shared" si="27"/>
        <v>0</v>
      </c>
      <c r="K370" t="str">
        <f t="shared" si="30"/>
        <v>Domingo</v>
      </c>
      <c r="L370" s="39">
        <f t="shared" si="31"/>
        <v>3</v>
      </c>
    </row>
    <row r="371" spans="2:12">
      <c r="B371" s="105" t="s">
        <v>288</v>
      </c>
      <c r="C371" s="39" t="s">
        <v>310</v>
      </c>
      <c r="D371" s="105" t="s">
        <v>297</v>
      </c>
      <c r="E371" s="39" t="s">
        <v>310</v>
      </c>
      <c r="F371" s="107" t="str">
        <f t="shared" si="26"/>
        <v>04/11/2024</v>
      </c>
      <c r="G371" s="92">
        <f t="shared" si="29"/>
        <v>2</v>
      </c>
      <c r="H371" t="str">
        <f t="shared" si="28"/>
        <v>Luna Nueva</v>
      </c>
      <c r="J371">
        <f t="shared" si="27"/>
        <v>1</v>
      </c>
      <c r="K371" t="str">
        <f t="shared" si="30"/>
        <v>Lunes</v>
      </c>
      <c r="L371" s="39">
        <f t="shared" si="31"/>
        <v>4</v>
      </c>
    </row>
    <row r="372" spans="2:12">
      <c r="B372" s="105" t="s">
        <v>290</v>
      </c>
      <c r="C372" s="39" t="s">
        <v>310</v>
      </c>
      <c r="D372" s="105" t="s">
        <v>297</v>
      </c>
      <c r="E372" s="39" t="s">
        <v>310</v>
      </c>
      <c r="F372" s="107" t="str">
        <f t="shared" si="26"/>
        <v>05/11/2024</v>
      </c>
      <c r="G372" s="92">
        <f t="shared" si="29"/>
        <v>3</v>
      </c>
      <c r="H372" t="str">
        <f t="shared" si="28"/>
        <v>Luna Nueva</v>
      </c>
      <c r="J372">
        <f t="shared" si="27"/>
        <v>2</v>
      </c>
      <c r="K372" t="str">
        <f t="shared" si="30"/>
        <v>Martes</v>
      </c>
      <c r="L372" s="39">
        <f t="shared" si="31"/>
        <v>5</v>
      </c>
    </row>
    <row r="373" spans="2:12">
      <c r="B373" s="105" t="s">
        <v>291</v>
      </c>
      <c r="C373" s="39" t="s">
        <v>310</v>
      </c>
      <c r="D373" s="105" t="s">
        <v>297</v>
      </c>
      <c r="E373" s="39" t="s">
        <v>310</v>
      </c>
      <c r="F373" s="107" t="str">
        <f t="shared" si="26"/>
        <v>06/11/2024</v>
      </c>
      <c r="G373" s="92">
        <f t="shared" si="29"/>
        <v>4</v>
      </c>
      <c r="H373" t="str">
        <f t="shared" si="28"/>
        <v>Luna Nueva</v>
      </c>
      <c r="J373">
        <f t="shared" si="27"/>
        <v>3</v>
      </c>
      <c r="K373" t="str">
        <f t="shared" si="30"/>
        <v>Miércoles</v>
      </c>
      <c r="L373" s="39">
        <f t="shared" si="31"/>
        <v>6</v>
      </c>
    </row>
    <row r="374" spans="2:12">
      <c r="B374" s="105" t="s">
        <v>292</v>
      </c>
      <c r="C374" s="39" t="s">
        <v>310</v>
      </c>
      <c r="D374" s="105" t="s">
        <v>297</v>
      </c>
      <c r="E374" s="39" t="s">
        <v>310</v>
      </c>
      <c r="F374" s="107" t="str">
        <f t="shared" si="26"/>
        <v>07/11/2024</v>
      </c>
      <c r="G374" s="92">
        <f t="shared" si="29"/>
        <v>5</v>
      </c>
      <c r="H374" t="str">
        <f t="shared" si="28"/>
        <v>Luna Nueva</v>
      </c>
      <c r="J374">
        <f t="shared" si="27"/>
        <v>4</v>
      </c>
      <c r="K374" t="str">
        <f t="shared" si="30"/>
        <v>Jueves</v>
      </c>
      <c r="L374" s="39">
        <f t="shared" si="31"/>
        <v>7</v>
      </c>
    </row>
    <row r="375" spans="2:12">
      <c r="B375" s="105" t="s">
        <v>293</v>
      </c>
      <c r="C375" s="39" t="s">
        <v>310</v>
      </c>
      <c r="D375" s="105" t="s">
        <v>297</v>
      </c>
      <c r="E375" s="39" t="s">
        <v>310</v>
      </c>
      <c r="F375" s="107" t="str">
        <f t="shared" si="26"/>
        <v>08/11/2024</v>
      </c>
      <c r="G375" s="92">
        <f t="shared" si="29"/>
        <v>6</v>
      </c>
      <c r="H375" t="str">
        <f t="shared" si="28"/>
        <v>Cuarto Creciente</v>
      </c>
      <c r="J375">
        <f t="shared" si="27"/>
        <v>5</v>
      </c>
      <c r="K375" t="str">
        <f t="shared" si="30"/>
        <v>Viernes</v>
      </c>
      <c r="L375" s="39">
        <f t="shared" si="31"/>
        <v>8</v>
      </c>
    </row>
    <row r="376" spans="2:12">
      <c r="B376" s="105" t="s">
        <v>294</v>
      </c>
      <c r="C376" s="39" t="s">
        <v>310</v>
      </c>
      <c r="D376" s="105" t="s">
        <v>297</v>
      </c>
      <c r="E376" s="39" t="s">
        <v>310</v>
      </c>
      <c r="F376" s="107" t="str">
        <f t="shared" si="26"/>
        <v>09/11/2024</v>
      </c>
      <c r="G376" s="92">
        <f t="shared" si="29"/>
        <v>7</v>
      </c>
      <c r="H376" t="str">
        <f t="shared" si="28"/>
        <v>Cuarto Creciente</v>
      </c>
      <c r="J376">
        <f t="shared" si="27"/>
        <v>6</v>
      </c>
      <c r="K376" t="str">
        <f t="shared" si="30"/>
        <v>Sábado</v>
      </c>
      <c r="L376" s="39">
        <f t="shared" si="31"/>
        <v>9</v>
      </c>
    </row>
    <row r="377" spans="2:12">
      <c r="B377" s="105" t="s">
        <v>295</v>
      </c>
      <c r="C377" s="39" t="s">
        <v>310</v>
      </c>
      <c r="D377" s="105" t="s">
        <v>297</v>
      </c>
      <c r="E377" s="39" t="s">
        <v>310</v>
      </c>
      <c r="F377" s="107" t="str">
        <f t="shared" si="26"/>
        <v>10/11/2024</v>
      </c>
      <c r="G377" s="92">
        <f t="shared" si="29"/>
        <v>8</v>
      </c>
      <c r="H377" t="str">
        <f t="shared" si="28"/>
        <v>Cuarto Creciente</v>
      </c>
      <c r="J377">
        <f t="shared" si="27"/>
        <v>0</v>
      </c>
      <c r="K377" t="str">
        <f t="shared" si="30"/>
        <v>Domingo</v>
      </c>
      <c r="L377" s="39">
        <f t="shared" si="31"/>
        <v>10</v>
      </c>
    </row>
    <row r="378" spans="2:12">
      <c r="B378" s="105" t="s">
        <v>297</v>
      </c>
      <c r="C378" s="39" t="s">
        <v>310</v>
      </c>
      <c r="D378" s="105" t="s">
        <v>297</v>
      </c>
      <c r="E378" s="39" t="s">
        <v>310</v>
      </c>
      <c r="F378" s="107" t="str">
        <f t="shared" si="26"/>
        <v>11/11/2024</v>
      </c>
      <c r="G378" s="92">
        <f t="shared" si="29"/>
        <v>9</v>
      </c>
      <c r="H378" t="str">
        <f t="shared" si="28"/>
        <v>Cuarto Creciente</v>
      </c>
      <c r="J378">
        <f t="shared" si="27"/>
        <v>1</v>
      </c>
      <c r="K378" t="str">
        <f t="shared" si="30"/>
        <v>Lunes</v>
      </c>
      <c r="L378" s="39">
        <f t="shared" si="31"/>
        <v>11</v>
      </c>
    </row>
    <row r="379" spans="2:12">
      <c r="B379" s="105" t="s">
        <v>298</v>
      </c>
      <c r="C379" s="39" t="s">
        <v>310</v>
      </c>
      <c r="D379" s="105" t="s">
        <v>297</v>
      </c>
      <c r="E379" s="39" t="s">
        <v>310</v>
      </c>
      <c r="F379" s="107" t="str">
        <f t="shared" ref="F379:F428" si="32">CONCATENATE(B379,C379,D379,E379,$E$37)</f>
        <v>12/11/2024</v>
      </c>
      <c r="G379" s="92">
        <f t="shared" si="29"/>
        <v>10</v>
      </c>
      <c r="H379" t="str">
        <f t="shared" si="28"/>
        <v>Cuarto Creciente</v>
      </c>
      <c r="J379">
        <f t="shared" si="27"/>
        <v>2</v>
      </c>
      <c r="K379" t="str">
        <f t="shared" si="30"/>
        <v>Martes</v>
      </c>
      <c r="L379" s="39">
        <f t="shared" si="31"/>
        <v>12</v>
      </c>
    </row>
    <row r="380" spans="2:12">
      <c r="B380" s="105" t="s">
        <v>311</v>
      </c>
      <c r="C380" s="39" t="s">
        <v>310</v>
      </c>
      <c r="D380" s="105" t="s">
        <v>297</v>
      </c>
      <c r="E380" s="39" t="s">
        <v>310</v>
      </c>
      <c r="F380" s="107" t="str">
        <f t="shared" si="32"/>
        <v>13/11/2024</v>
      </c>
      <c r="G380" s="92">
        <f t="shared" si="29"/>
        <v>11</v>
      </c>
      <c r="H380" t="str">
        <f t="shared" si="28"/>
        <v>Cuarto Creciente</v>
      </c>
      <c r="J380">
        <f t="shared" si="27"/>
        <v>3</v>
      </c>
      <c r="K380" t="str">
        <f t="shared" si="30"/>
        <v>Miércoles</v>
      </c>
      <c r="L380" s="39">
        <f t="shared" si="31"/>
        <v>13</v>
      </c>
    </row>
    <row r="381" spans="2:12">
      <c r="B381" s="105" t="s">
        <v>312</v>
      </c>
      <c r="C381" s="39" t="s">
        <v>310</v>
      </c>
      <c r="D381" s="105" t="s">
        <v>297</v>
      </c>
      <c r="E381" s="39" t="s">
        <v>310</v>
      </c>
      <c r="F381" s="107" t="str">
        <f t="shared" si="32"/>
        <v>14/11/2024</v>
      </c>
      <c r="G381" s="92">
        <f t="shared" si="29"/>
        <v>12</v>
      </c>
      <c r="H381" t="str">
        <f t="shared" si="28"/>
        <v>Cuarto Creciente</v>
      </c>
      <c r="J381">
        <f t="shared" ref="J381:J428" si="33">IF(J380&lt;6,J380+1,0)</f>
        <v>4</v>
      </c>
      <c r="K381" t="str">
        <f t="shared" si="30"/>
        <v>Jueves</v>
      </c>
      <c r="L381" s="39">
        <f t="shared" si="31"/>
        <v>14</v>
      </c>
    </row>
    <row r="382" spans="2:12">
      <c r="B382" s="105" t="s">
        <v>313</v>
      </c>
      <c r="C382" s="39" t="s">
        <v>310</v>
      </c>
      <c r="D382" s="105" t="s">
        <v>297</v>
      </c>
      <c r="E382" s="39" t="s">
        <v>310</v>
      </c>
      <c r="F382" s="107" t="str">
        <f t="shared" si="32"/>
        <v>15/11/2024</v>
      </c>
      <c r="G382" s="92">
        <f t="shared" si="29"/>
        <v>13</v>
      </c>
      <c r="H382" t="str">
        <f t="shared" si="28"/>
        <v>Cuarto Creciente</v>
      </c>
      <c r="J382">
        <f t="shared" si="33"/>
        <v>5</v>
      </c>
      <c r="K382" t="str">
        <f t="shared" si="30"/>
        <v>Viernes</v>
      </c>
      <c r="L382" s="39">
        <f t="shared" si="31"/>
        <v>15</v>
      </c>
    </row>
    <row r="383" spans="2:12">
      <c r="B383" s="105" t="s">
        <v>314</v>
      </c>
      <c r="C383" s="39" t="s">
        <v>310</v>
      </c>
      <c r="D383" s="105" t="s">
        <v>297</v>
      </c>
      <c r="E383" s="39" t="s">
        <v>310</v>
      </c>
      <c r="F383" s="107" t="str">
        <f t="shared" si="32"/>
        <v>16/11/2024</v>
      </c>
      <c r="G383" s="92">
        <f t="shared" si="29"/>
        <v>14</v>
      </c>
      <c r="H383" t="str">
        <f t="shared" ref="H383:H428" si="34">VLOOKUP(G383,$J$32:$K$61,2)</f>
        <v>Luna Llena</v>
      </c>
      <c r="J383">
        <f t="shared" si="33"/>
        <v>6</v>
      </c>
      <c r="K383" t="str">
        <f t="shared" si="30"/>
        <v>Sábado</v>
      </c>
      <c r="L383" s="39">
        <f t="shared" si="31"/>
        <v>16</v>
      </c>
    </row>
    <row r="384" spans="2:12">
      <c r="B384" s="105" t="s">
        <v>315</v>
      </c>
      <c r="C384" s="39" t="s">
        <v>310</v>
      </c>
      <c r="D384" s="105" t="s">
        <v>297</v>
      </c>
      <c r="E384" s="39" t="s">
        <v>310</v>
      </c>
      <c r="F384" s="107" t="str">
        <f t="shared" si="32"/>
        <v>17/11/2024</v>
      </c>
      <c r="G384" s="92">
        <f t="shared" ref="G384:G428" si="35">MOD($A$69+B384+VLOOKUP(MONTH(F384),$B$35:$D$46,3),30)</f>
        <v>15</v>
      </c>
      <c r="H384" t="str">
        <f t="shared" si="34"/>
        <v>Luna Llena</v>
      </c>
      <c r="J384">
        <f t="shared" si="33"/>
        <v>0</v>
      </c>
      <c r="K384" t="str">
        <f t="shared" ref="K384:K428" si="36">VLOOKUP(J384,$H$45:$I$52,2)</f>
        <v>Domingo</v>
      </c>
      <c r="L384" s="39">
        <f t="shared" ref="L384:L428" si="37">VALUE(LEFT(F384,2))</f>
        <v>17</v>
      </c>
    </row>
    <row r="385" spans="2:12">
      <c r="B385" s="105" t="s">
        <v>316</v>
      </c>
      <c r="C385" s="39" t="s">
        <v>310</v>
      </c>
      <c r="D385" s="105" t="s">
        <v>297</v>
      </c>
      <c r="E385" s="39" t="s">
        <v>310</v>
      </c>
      <c r="F385" s="107" t="str">
        <f t="shared" si="32"/>
        <v>18/11/2024</v>
      </c>
      <c r="G385" s="92">
        <f t="shared" si="35"/>
        <v>16</v>
      </c>
      <c r="H385" t="str">
        <f t="shared" si="34"/>
        <v>Luna Llena</v>
      </c>
      <c r="J385">
        <f t="shared" si="33"/>
        <v>1</v>
      </c>
      <c r="K385" t="str">
        <f t="shared" si="36"/>
        <v>Lunes</v>
      </c>
      <c r="L385" s="39">
        <f t="shared" si="37"/>
        <v>18</v>
      </c>
    </row>
    <row r="386" spans="2:12">
      <c r="B386" s="105" t="s">
        <v>317</v>
      </c>
      <c r="C386" s="39" t="s">
        <v>310</v>
      </c>
      <c r="D386" s="105" t="s">
        <v>297</v>
      </c>
      <c r="E386" s="39" t="s">
        <v>310</v>
      </c>
      <c r="F386" s="107" t="str">
        <f t="shared" si="32"/>
        <v>19/11/2024</v>
      </c>
      <c r="G386" s="92">
        <f t="shared" si="35"/>
        <v>17</v>
      </c>
      <c r="H386" t="str">
        <f t="shared" si="34"/>
        <v>Luna Llena</v>
      </c>
      <c r="J386">
        <f t="shared" si="33"/>
        <v>2</v>
      </c>
      <c r="K386" t="str">
        <f t="shared" si="36"/>
        <v>Martes</v>
      </c>
      <c r="L386" s="39">
        <f t="shared" si="37"/>
        <v>19</v>
      </c>
    </row>
    <row r="387" spans="2:12">
      <c r="B387" s="105" t="s">
        <v>318</v>
      </c>
      <c r="C387" s="39" t="s">
        <v>310</v>
      </c>
      <c r="D387" s="105" t="s">
        <v>297</v>
      </c>
      <c r="E387" s="39" t="s">
        <v>310</v>
      </c>
      <c r="F387" s="107" t="str">
        <f t="shared" si="32"/>
        <v>20/11/2024</v>
      </c>
      <c r="G387" s="92">
        <f t="shared" si="35"/>
        <v>18</v>
      </c>
      <c r="H387" t="str">
        <f t="shared" si="34"/>
        <v>Luna Llena</v>
      </c>
      <c r="J387">
        <f t="shared" si="33"/>
        <v>3</v>
      </c>
      <c r="K387" t="str">
        <f t="shared" si="36"/>
        <v>Miércoles</v>
      </c>
      <c r="L387" s="39">
        <f t="shared" si="37"/>
        <v>20</v>
      </c>
    </row>
    <row r="388" spans="2:12">
      <c r="B388" s="105" t="s">
        <v>319</v>
      </c>
      <c r="C388" s="39" t="s">
        <v>310</v>
      </c>
      <c r="D388" s="105" t="s">
        <v>297</v>
      </c>
      <c r="E388" s="39" t="s">
        <v>310</v>
      </c>
      <c r="F388" s="107" t="str">
        <f t="shared" si="32"/>
        <v>21/11/2024</v>
      </c>
      <c r="G388" s="92">
        <f t="shared" si="35"/>
        <v>19</v>
      </c>
      <c r="H388" t="str">
        <f t="shared" si="34"/>
        <v>Luna Llena</v>
      </c>
      <c r="J388">
        <f t="shared" si="33"/>
        <v>4</v>
      </c>
      <c r="K388" t="str">
        <f t="shared" si="36"/>
        <v>Jueves</v>
      </c>
      <c r="L388" s="39">
        <f t="shared" si="37"/>
        <v>21</v>
      </c>
    </row>
    <row r="389" spans="2:12">
      <c r="B389" s="105" t="s">
        <v>320</v>
      </c>
      <c r="C389" s="39" t="s">
        <v>310</v>
      </c>
      <c r="D389" s="105" t="s">
        <v>297</v>
      </c>
      <c r="E389" s="39" t="s">
        <v>310</v>
      </c>
      <c r="F389" s="107" t="str">
        <f t="shared" si="32"/>
        <v>22/11/2024</v>
      </c>
      <c r="G389" s="92">
        <f t="shared" si="35"/>
        <v>20</v>
      </c>
      <c r="H389" t="str">
        <f t="shared" si="34"/>
        <v>Luna Llena</v>
      </c>
      <c r="J389">
        <f t="shared" si="33"/>
        <v>5</v>
      </c>
      <c r="K389" t="str">
        <f t="shared" si="36"/>
        <v>Viernes</v>
      </c>
      <c r="L389" s="39">
        <f t="shared" si="37"/>
        <v>22</v>
      </c>
    </row>
    <row r="390" spans="2:12">
      <c r="B390" s="105" t="s">
        <v>321</v>
      </c>
      <c r="C390" s="39" t="s">
        <v>310</v>
      </c>
      <c r="D390" s="105" t="s">
        <v>297</v>
      </c>
      <c r="E390" s="39" t="s">
        <v>310</v>
      </c>
      <c r="F390" s="107" t="str">
        <f t="shared" si="32"/>
        <v>23/11/2024</v>
      </c>
      <c r="G390" s="92">
        <f t="shared" si="35"/>
        <v>21</v>
      </c>
      <c r="H390" t="str">
        <f t="shared" si="34"/>
        <v>Cuarto Menguante</v>
      </c>
      <c r="J390">
        <f t="shared" si="33"/>
        <v>6</v>
      </c>
      <c r="K390" t="str">
        <f t="shared" si="36"/>
        <v>Sábado</v>
      </c>
      <c r="L390" s="39">
        <f t="shared" si="37"/>
        <v>23</v>
      </c>
    </row>
    <row r="391" spans="2:12">
      <c r="B391" s="105" t="s">
        <v>322</v>
      </c>
      <c r="C391" s="39" t="s">
        <v>310</v>
      </c>
      <c r="D391" s="105" t="s">
        <v>297</v>
      </c>
      <c r="E391" s="39" t="s">
        <v>310</v>
      </c>
      <c r="F391" s="107" t="str">
        <f t="shared" si="32"/>
        <v>24/11/2024</v>
      </c>
      <c r="G391" s="92">
        <f t="shared" si="35"/>
        <v>22</v>
      </c>
      <c r="H391" t="str">
        <f t="shared" si="34"/>
        <v>Cuarto Menguante</v>
      </c>
      <c r="J391">
        <f t="shared" si="33"/>
        <v>0</v>
      </c>
      <c r="K391" t="str">
        <f t="shared" si="36"/>
        <v>Domingo</v>
      </c>
      <c r="L391" s="39">
        <f t="shared" si="37"/>
        <v>24</v>
      </c>
    </row>
    <row r="392" spans="2:12">
      <c r="B392" s="105" t="s">
        <v>323</v>
      </c>
      <c r="C392" s="39" t="s">
        <v>310</v>
      </c>
      <c r="D392" s="105" t="s">
        <v>297</v>
      </c>
      <c r="E392" s="39" t="s">
        <v>310</v>
      </c>
      <c r="F392" s="107" t="str">
        <f t="shared" si="32"/>
        <v>25/11/2024</v>
      </c>
      <c r="G392" s="92">
        <f t="shared" si="35"/>
        <v>23</v>
      </c>
      <c r="H392" t="str">
        <f t="shared" si="34"/>
        <v>Cuarto Menguante</v>
      </c>
      <c r="J392">
        <f t="shared" si="33"/>
        <v>1</v>
      </c>
      <c r="K392" t="str">
        <f t="shared" si="36"/>
        <v>Lunes</v>
      </c>
      <c r="L392" s="39">
        <f t="shared" si="37"/>
        <v>25</v>
      </c>
    </row>
    <row r="393" spans="2:12">
      <c r="B393" s="105" t="s">
        <v>324</v>
      </c>
      <c r="C393" s="39" t="s">
        <v>310</v>
      </c>
      <c r="D393" s="105" t="s">
        <v>297</v>
      </c>
      <c r="E393" s="39" t="s">
        <v>310</v>
      </c>
      <c r="F393" s="107" t="str">
        <f t="shared" si="32"/>
        <v>26/11/2024</v>
      </c>
      <c r="G393" s="92">
        <f t="shared" si="35"/>
        <v>24</v>
      </c>
      <c r="H393" t="str">
        <f t="shared" si="34"/>
        <v>Cuarto Menguante</v>
      </c>
      <c r="J393">
        <f t="shared" si="33"/>
        <v>2</v>
      </c>
      <c r="K393" t="str">
        <f t="shared" si="36"/>
        <v>Martes</v>
      </c>
      <c r="L393" s="39">
        <f t="shared" si="37"/>
        <v>26</v>
      </c>
    </row>
    <row r="394" spans="2:12">
      <c r="B394" s="105" t="s">
        <v>325</v>
      </c>
      <c r="C394" s="39" t="s">
        <v>310</v>
      </c>
      <c r="D394" s="105" t="s">
        <v>297</v>
      </c>
      <c r="E394" s="39" t="s">
        <v>310</v>
      </c>
      <c r="F394" s="107" t="str">
        <f t="shared" si="32"/>
        <v>27/11/2024</v>
      </c>
      <c r="G394" s="92">
        <f t="shared" si="35"/>
        <v>25</v>
      </c>
      <c r="H394" t="str">
        <f t="shared" si="34"/>
        <v>Cuarto Menguante</v>
      </c>
      <c r="J394">
        <f t="shared" si="33"/>
        <v>3</v>
      </c>
      <c r="K394" t="str">
        <f t="shared" si="36"/>
        <v>Miércoles</v>
      </c>
      <c r="L394" s="39">
        <f t="shared" si="37"/>
        <v>27</v>
      </c>
    </row>
    <row r="395" spans="2:12">
      <c r="B395" s="105" t="s">
        <v>326</v>
      </c>
      <c r="C395" s="39" t="s">
        <v>310</v>
      </c>
      <c r="D395" s="105" t="s">
        <v>297</v>
      </c>
      <c r="E395" s="39" t="s">
        <v>310</v>
      </c>
      <c r="F395" s="107" t="str">
        <f t="shared" si="32"/>
        <v>28/11/2024</v>
      </c>
      <c r="G395" s="92">
        <f t="shared" si="35"/>
        <v>26</v>
      </c>
      <c r="H395" t="str">
        <f t="shared" si="34"/>
        <v>Cuarto Menguante</v>
      </c>
      <c r="J395">
        <f t="shared" si="33"/>
        <v>4</v>
      </c>
      <c r="K395" t="str">
        <f t="shared" si="36"/>
        <v>Jueves</v>
      </c>
      <c r="L395" s="39">
        <f t="shared" si="37"/>
        <v>28</v>
      </c>
    </row>
    <row r="396" spans="2:12">
      <c r="B396" s="105">
        <v>29</v>
      </c>
      <c r="C396" s="39" t="s">
        <v>310</v>
      </c>
      <c r="D396" s="105" t="s">
        <v>297</v>
      </c>
      <c r="E396" s="39" t="s">
        <v>310</v>
      </c>
      <c r="F396" s="107" t="str">
        <f t="shared" si="32"/>
        <v>29/11/2024</v>
      </c>
      <c r="G396" s="92">
        <f t="shared" si="35"/>
        <v>27</v>
      </c>
      <c r="H396" t="str">
        <f t="shared" si="34"/>
        <v>Cuarto Menguante</v>
      </c>
      <c r="J396">
        <f t="shared" si="33"/>
        <v>5</v>
      </c>
      <c r="K396" t="str">
        <f t="shared" si="36"/>
        <v>Viernes</v>
      </c>
      <c r="L396" s="39">
        <f t="shared" si="37"/>
        <v>29</v>
      </c>
    </row>
    <row r="397" spans="2:12">
      <c r="B397" s="105">
        <v>30</v>
      </c>
      <c r="C397" s="39" t="s">
        <v>310</v>
      </c>
      <c r="D397" s="105" t="s">
        <v>297</v>
      </c>
      <c r="E397" s="39" t="s">
        <v>310</v>
      </c>
      <c r="F397" s="107" t="str">
        <f t="shared" si="32"/>
        <v>30/11/2024</v>
      </c>
      <c r="G397" s="92">
        <f t="shared" si="35"/>
        <v>28</v>
      </c>
      <c r="H397" t="str">
        <f t="shared" si="34"/>
        <v>Luna Nueva</v>
      </c>
      <c r="J397">
        <f t="shared" si="33"/>
        <v>6</v>
      </c>
      <c r="K397" t="str">
        <f t="shared" si="36"/>
        <v>Sábado</v>
      </c>
      <c r="L397" s="39">
        <f t="shared" si="37"/>
        <v>30</v>
      </c>
    </row>
    <row r="398" spans="2:12">
      <c r="B398" s="105" t="s">
        <v>284</v>
      </c>
      <c r="C398" s="39" t="s">
        <v>310</v>
      </c>
      <c r="D398" s="105" t="s">
        <v>298</v>
      </c>
      <c r="E398" s="39" t="s">
        <v>310</v>
      </c>
      <c r="F398" s="107" t="str">
        <f t="shared" si="32"/>
        <v>01/12/2024</v>
      </c>
      <c r="G398" s="92">
        <f t="shared" si="35"/>
        <v>29</v>
      </c>
      <c r="H398" t="str">
        <f t="shared" si="34"/>
        <v>Luna Nueva</v>
      </c>
      <c r="J398">
        <f t="shared" si="33"/>
        <v>0</v>
      </c>
      <c r="K398" t="str">
        <f t="shared" si="36"/>
        <v>Domingo</v>
      </c>
      <c r="L398" s="39">
        <f t="shared" si="37"/>
        <v>1</v>
      </c>
    </row>
    <row r="399" spans="2:12">
      <c r="B399" s="105" t="s">
        <v>286</v>
      </c>
      <c r="C399" s="39" t="s">
        <v>310</v>
      </c>
      <c r="D399" s="105" t="s">
        <v>298</v>
      </c>
      <c r="E399" s="39" t="s">
        <v>310</v>
      </c>
      <c r="F399" s="107" t="str">
        <f t="shared" si="32"/>
        <v>02/12/2024</v>
      </c>
      <c r="G399" s="92">
        <f t="shared" si="35"/>
        <v>0</v>
      </c>
      <c r="H399" t="str">
        <f t="shared" si="34"/>
        <v>Luna Nueva</v>
      </c>
      <c r="J399">
        <f t="shared" si="33"/>
        <v>1</v>
      </c>
      <c r="K399" t="str">
        <f t="shared" si="36"/>
        <v>Lunes</v>
      </c>
      <c r="L399" s="39">
        <f t="shared" si="37"/>
        <v>2</v>
      </c>
    </row>
    <row r="400" spans="2:12">
      <c r="B400" s="105" t="s">
        <v>287</v>
      </c>
      <c r="C400" s="39" t="s">
        <v>310</v>
      </c>
      <c r="D400" s="105" t="s">
        <v>298</v>
      </c>
      <c r="E400" s="39" t="s">
        <v>310</v>
      </c>
      <c r="F400" s="107" t="str">
        <f t="shared" si="32"/>
        <v>03/12/2024</v>
      </c>
      <c r="G400" s="92">
        <f t="shared" si="35"/>
        <v>1</v>
      </c>
      <c r="H400" t="str">
        <f t="shared" si="34"/>
        <v>Luna Nueva</v>
      </c>
      <c r="J400">
        <f t="shared" si="33"/>
        <v>2</v>
      </c>
      <c r="K400" t="str">
        <f t="shared" si="36"/>
        <v>Martes</v>
      </c>
      <c r="L400" s="39">
        <f t="shared" si="37"/>
        <v>3</v>
      </c>
    </row>
    <row r="401" spans="2:12">
      <c r="B401" s="105" t="s">
        <v>288</v>
      </c>
      <c r="C401" s="39" t="s">
        <v>310</v>
      </c>
      <c r="D401" s="105" t="s">
        <v>298</v>
      </c>
      <c r="E401" s="39" t="s">
        <v>310</v>
      </c>
      <c r="F401" s="107" t="str">
        <f t="shared" si="32"/>
        <v>04/12/2024</v>
      </c>
      <c r="G401" s="92">
        <f t="shared" si="35"/>
        <v>2</v>
      </c>
      <c r="H401" t="str">
        <f t="shared" si="34"/>
        <v>Luna Nueva</v>
      </c>
      <c r="J401">
        <f t="shared" si="33"/>
        <v>3</v>
      </c>
      <c r="K401" t="str">
        <f t="shared" si="36"/>
        <v>Miércoles</v>
      </c>
      <c r="L401" s="39">
        <f t="shared" si="37"/>
        <v>4</v>
      </c>
    </row>
    <row r="402" spans="2:12">
      <c r="B402" s="105" t="s">
        <v>290</v>
      </c>
      <c r="C402" s="39" t="s">
        <v>310</v>
      </c>
      <c r="D402" s="105" t="s">
        <v>298</v>
      </c>
      <c r="E402" s="39" t="s">
        <v>310</v>
      </c>
      <c r="F402" s="107" t="str">
        <f t="shared" si="32"/>
        <v>05/12/2024</v>
      </c>
      <c r="G402" s="92">
        <f t="shared" si="35"/>
        <v>3</v>
      </c>
      <c r="H402" t="str">
        <f t="shared" si="34"/>
        <v>Luna Nueva</v>
      </c>
      <c r="J402">
        <f t="shared" si="33"/>
        <v>4</v>
      </c>
      <c r="K402" t="str">
        <f t="shared" si="36"/>
        <v>Jueves</v>
      </c>
      <c r="L402" s="39">
        <f t="shared" si="37"/>
        <v>5</v>
      </c>
    </row>
    <row r="403" spans="2:12">
      <c r="B403" s="105" t="s">
        <v>291</v>
      </c>
      <c r="C403" s="39" t="s">
        <v>310</v>
      </c>
      <c r="D403" s="105" t="s">
        <v>298</v>
      </c>
      <c r="E403" s="39" t="s">
        <v>310</v>
      </c>
      <c r="F403" s="107" t="str">
        <f t="shared" si="32"/>
        <v>06/12/2024</v>
      </c>
      <c r="G403" s="92">
        <f t="shared" si="35"/>
        <v>4</v>
      </c>
      <c r="H403" t="str">
        <f t="shared" si="34"/>
        <v>Luna Nueva</v>
      </c>
      <c r="J403">
        <f t="shared" si="33"/>
        <v>5</v>
      </c>
      <c r="K403" t="str">
        <f t="shared" si="36"/>
        <v>Viernes</v>
      </c>
      <c r="L403" s="39">
        <f t="shared" si="37"/>
        <v>6</v>
      </c>
    </row>
    <row r="404" spans="2:12">
      <c r="B404" s="105" t="s">
        <v>292</v>
      </c>
      <c r="C404" s="39" t="s">
        <v>310</v>
      </c>
      <c r="D404" s="105" t="s">
        <v>298</v>
      </c>
      <c r="E404" s="39" t="s">
        <v>310</v>
      </c>
      <c r="F404" s="107" t="str">
        <f t="shared" si="32"/>
        <v>07/12/2024</v>
      </c>
      <c r="G404" s="92">
        <f t="shared" si="35"/>
        <v>5</v>
      </c>
      <c r="H404" t="str">
        <f t="shared" si="34"/>
        <v>Luna Nueva</v>
      </c>
      <c r="J404">
        <f t="shared" si="33"/>
        <v>6</v>
      </c>
      <c r="K404" t="str">
        <f t="shared" si="36"/>
        <v>Sábado</v>
      </c>
      <c r="L404" s="39">
        <f t="shared" si="37"/>
        <v>7</v>
      </c>
    </row>
    <row r="405" spans="2:12">
      <c r="B405" s="105" t="s">
        <v>293</v>
      </c>
      <c r="C405" s="39" t="s">
        <v>310</v>
      </c>
      <c r="D405" s="105" t="s">
        <v>298</v>
      </c>
      <c r="E405" s="39" t="s">
        <v>310</v>
      </c>
      <c r="F405" s="107" t="str">
        <f t="shared" si="32"/>
        <v>08/12/2024</v>
      </c>
      <c r="G405" s="92">
        <f t="shared" si="35"/>
        <v>6</v>
      </c>
      <c r="H405" t="str">
        <f t="shared" si="34"/>
        <v>Cuarto Creciente</v>
      </c>
      <c r="J405">
        <f t="shared" si="33"/>
        <v>0</v>
      </c>
      <c r="K405" t="str">
        <f t="shared" si="36"/>
        <v>Domingo</v>
      </c>
      <c r="L405" s="39">
        <f t="shared" si="37"/>
        <v>8</v>
      </c>
    </row>
    <row r="406" spans="2:12">
      <c r="B406" s="105" t="s">
        <v>294</v>
      </c>
      <c r="C406" s="39" t="s">
        <v>310</v>
      </c>
      <c r="D406" s="105" t="s">
        <v>298</v>
      </c>
      <c r="E406" s="39" t="s">
        <v>310</v>
      </c>
      <c r="F406" s="107" t="str">
        <f t="shared" si="32"/>
        <v>09/12/2024</v>
      </c>
      <c r="G406" s="92">
        <f t="shared" si="35"/>
        <v>7</v>
      </c>
      <c r="H406" t="str">
        <f t="shared" si="34"/>
        <v>Cuarto Creciente</v>
      </c>
      <c r="J406">
        <f t="shared" si="33"/>
        <v>1</v>
      </c>
      <c r="K406" t="str">
        <f t="shared" si="36"/>
        <v>Lunes</v>
      </c>
      <c r="L406" s="39">
        <f t="shared" si="37"/>
        <v>9</v>
      </c>
    </row>
    <row r="407" spans="2:12">
      <c r="B407" s="105" t="s">
        <v>295</v>
      </c>
      <c r="C407" s="39" t="s">
        <v>310</v>
      </c>
      <c r="D407" s="105" t="s">
        <v>298</v>
      </c>
      <c r="E407" s="39" t="s">
        <v>310</v>
      </c>
      <c r="F407" s="107" t="str">
        <f t="shared" si="32"/>
        <v>10/12/2024</v>
      </c>
      <c r="G407" s="92">
        <f t="shared" si="35"/>
        <v>8</v>
      </c>
      <c r="H407" t="str">
        <f t="shared" si="34"/>
        <v>Cuarto Creciente</v>
      </c>
      <c r="J407">
        <f t="shared" si="33"/>
        <v>2</v>
      </c>
      <c r="K407" t="str">
        <f t="shared" si="36"/>
        <v>Martes</v>
      </c>
      <c r="L407" s="39">
        <f t="shared" si="37"/>
        <v>10</v>
      </c>
    </row>
    <row r="408" spans="2:12">
      <c r="B408" s="105" t="s">
        <v>297</v>
      </c>
      <c r="C408" s="39" t="s">
        <v>310</v>
      </c>
      <c r="D408" s="105" t="s">
        <v>298</v>
      </c>
      <c r="E408" s="39" t="s">
        <v>310</v>
      </c>
      <c r="F408" s="107" t="str">
        <f t="shared" si="32"/>
        <v>11/12/2024</v>
      </c>
      <c r="G408" s="92">
        <f t="shared" si="35"/>
        <v>9</v>
      </c>
      <c r="H408" t="str">
        <f t="shared" si="34"/>
        <v>Cuarto Creciente</v>
      </c>
      <c r="J408">
        <f t="shared" si="33"/>
        <v>3</v>
      </c>
      <c r="K408" t="str">
        <f t="shared" si="36"/>
        <v>Miércoles</v>
      </c>
      <c r="L408" s="39">
        <f t="shared" si="37"/>
        <v>11</v>
      </c>
    </row>
    <row r="409" spans="2:12">
      <c r="B409" s="105" t="s">
        <v>298</v>
      </c>
      <c r="C409" s="39" t="s">
        <v>310</v>
      </c>
      <c r="D409" s="105" t="s">
        <v>298</v>
      </c>
      <c r="E409" s="39" t="s">
        <v>310</v>
      </c>
      <c r="F409" s="107" t="str">
        <f t="shared" si="32"/>
        <v>12/12/2024</v>
      </c>
      <c r="G409" s="92">
        <f t="shared" si="35"/>
        <v>10</v>
      </c>
      <c r="H409" t="str">
        <f t="shared" si="34"/>
        <v>Cuarto Creciente</v>
      </c>
      <c r="J409">
        <f t="shared" si="33"/>
        <v>4</v>
      </c>
      <c r="K409" t="str">
        <f t="shared" si="36"/>
        <v>Jueves</v>
      </c>
      <c r="L409" s="39">
        <f t="shared" si="37"/>
        <v>12</v>
      </c>
    </row>
    <row r="410" spans="2:12">
      <c r="B410" s="105" t="s">
        <v>311</v>
      </c>
      <c r="C410" s="39" t="s">
        <v>310</v>
      </c>
      <c r="D410" s="105" t="s">
        <v>298</v>
      </c>
      <c r="E410" s="39" t="s">
        <v>310</v>
      </c>
      <c r="F410" s="107" t="str">
        <f t="shared" si="32"/>
        <v>13/12/2024</v>
      </c>
      <c r="G410" s="92">
        <f t="shared" si="35"/>
        <v>11</v>
      </c>
      <c r="H410" t="str">
        <f t="shared" si="34"/>
        <v>Cuarto Creciente</v>
      </c>
      <c r="J410">
        <f t="shared" si="33"/>
        <v>5</v>
      </c>
      <c r="K410" t="str">
        <f t="shared" si="36"/>
        <v>Viernes</v>
      </c>
      <c r="L410" s="39">
        <f t="shared" si="37"/>
        <v>13</v>
      </c>
    </row>
    <row r="411" spans="2:12">
      <c r="B411" s="105" t="s">
        <v>312</v>
      </c>
      <c r="C411" s="39" t="s">
        <v>310</v>
      </c>
      <c r="D411" s="105" t="s">
        <v>298</v>
      </c>
      <c r="E411" s="39" t="s">
        <v>310</v>
      </c>
      <c r="F411" s="107" t="str">
        <f t="shared" si="32"/>
        <v>14/12/2024</v>
      </c>
      <c r="G411" s="92">
        <f t="shared" si="35"/>
        <v>12</v>
      </c>
      <c r="H411" t="str">
        <f t="shared" si="34"/>
        <v>Cuarto Creciente</v>
      </c>
      <c r="J411">
        <f t="shared" si="33"/>
        <v>6</v>
      </c>
      <c r="K411" t="str">
        <f t="shared" si="36"/>
        <v>Sábado</v>
      </c>
      <c r="L411" s="39">
        <f t="shared" si="37"/>
        <v>14</v>
      </c>
    </row>
    <row r="412" spans="2:12">
      <c r="B412" s="105" t="s">
        <v>313</v>
      </c>
      <c r="C412" s="39" t="s">
        <v>310</v>
      </c>
      <c r="D412" s="105" t="s">
        <v>298</v>
      </c>
      <c r="E412" s="39" t="s">
        <v>310</v>
      </c>
      <c r="F412" s="107" t="str">
        <f t="shared" si="32"/>
        <v>15/12/2024</v>
      </c>
      <c r="G412" s="92">
        <f t="shared" si="35"/>
        <v>13</v>
      </c>
      <c r="H412" t="str">
        <f t="shared" si="34"/>
        <v>Cuarto Creciente</v>
      </c>
      <c r="J412">
        <f t="shared" si="33"/>
        <v>0</v>
      </c>
      <c r="K412" t="str">
        <f t="shared" si="36"/>
        <v>Domingo</v>
      </c>
      <c r="L412" s="39">
        <f t="shared" si="37"/>
        <v>15</v>
      </c>
    </row>
    <row r="413" spans="2:12">
      <c r="B413" s="105" t="s">
        <v>314</v>
      </c>
      <c r="C413" s="39" t="s">
        <v>310</v>
      </c>
      <c r="D413" s="105" t="s">
        <v>298</v>
      </c>
      <c r="E413" s="39" t="s">
        <v>310</v>
      </c>
      <c r="F413" s="107" t="str">
        <f t="shared" si="32"/>
        <v>16/12/2024</v>
      </c>
      <c r="G413" s="92">
        <f t="shared" si="35"/>
        <v>14</v>
      </c>
      <c r="H413" t="str">
        <f t="shared" si="34"/>
        <v>Luna Llena</v>
      </c>
      <c r="J413">
        <f t="shared" si="33"/>
        <v>1</v>
      </c>
      <c r="K413" t="str">
        <f t="shared" si="36"/>
        <v>Lunes</v>
      </c>
      <c r="L413" s="39">
        <f t="shared" si="37"/>
        <v>16</v>
      </c>
    </row>
    <row r="414" spans="2:12">
      <c r="B414" s="105" t="s">
        <v>315</v>
      </c>
      <c r="C414" s="39" t="s">
        <v>310</v>
      </c>
      <c r="D414" s="105" t="s">
        <v>298</v>
      </c>
      <c r="E414" s="39" t="s">
        <v>310</v>
      </c>
      <c r="F414" s="107" t="str">
        <f t="shared" si="32"/>
        <v>17/12/2024</v>
      </c>
      <c r="G414" s="92">
        <f t="shared" si="35"/>
        <v>15</v>
      </c>
      <c r="H414" t="str">
        <f t="shared" si="34"/>
        <v>Luna Llena</v>
      </c>
      <c r="J414">
        <f t="shared" si="33"/>
        <v>2</v>
      </c>
      <c r="K414" t="str">
        <f t="shared" si="36"/>
        <v>Martes</v>
      </c>
      <c r="L414" s="39">
        <f t="shared" si="37"/>
        <v>17</v>
      </c>
    </row>
    <row r="415" spans="2:12">
      <c r="B415" s="105" t="s">
        <v>316</v>
      </c>
      <c r="C415" s="39" t="s">
        <v>310</v>
      </c>
      <c r="D415" s="105" t="s">
        <v>298</v>
      </c>
      <c r="E415" s="39" t="s">
        <v>310</v>
      </c>
      <c r="F415" s="107" t="str">
        <f t="shared" si="32"/>
        <v>18/12/2024</v>
      </c>
      <c r="G415" s="92">
        <f t="shared" si="35"/>
        <v>16</v>
      </c>
      <c r="H415" t="str">
        <f t="shared" si="34"/>
        <v>Luna Llena</v>
      </c>
      <c r="J415">
        <f t="shared" si="33"/>
        <v>3</v>
      </c>
      <c r="K415" t="str">
        <f t="shared" si="36"/>
        <v>Miércoles</v>
      </c>
      <c r="L415" s="39">
        <f t="shared" si="37"/>
        <v>18</v>
      </c>
    </row>
    <row r="416" spans="2:12">
      <c r="B416" s="105" t="s">
        <v>317</v>
      </c>
      <c r="C416" s="39" t="s">
        <v>310</v>
      </c>
      <c r="D416" s="105" t="s">
        <v>298</v>
      </c>
      <c r="E416" s="39" t="s">
        <v>310</v>
      </c>
      <c r="F416" s="107" t="str">
        <f t="shared" si="32"/>
        <v>19/12/2024</v>
      </c>
      <c r="G416" s="92">
        <f t="shared" si="35"/>
        <v>17</v>
      </c>
      <c r="H416" t="str">
        <f t="shared" si="34"/>
        <v>Luna Llena</v>
      </c>
      <c r="J416">
        <f t="shared" si="33"/>
        <v>4</v>
      </c>
      <c r="K416" t="str">
        <f t="shared" si="36"/>
        <v>Jueves</v>
      </c>
      <c r="L416" s="39">
        <f t="shared" si="37"/>
        <v>19</v>
      </c>
    </row>
    <row r="417" spans="2:12">
      <c r="B417" s="105" t="s">
        <v>318</v>
      </c>
      <c r="C417" s="39" t="s">
        <v>310</v>
      </c>
      <c r="D417" s="105" t="s">
        <v>298</v>
      </c>
      <c r="E417" s="39" t="s">
        <v>310</v>
      </c>
      <c r="F417" s="107" t="str">
        <f t="shared" si="32"/>
        <v>20/12/2024</v>
      </c>
      <c r="G417" s="92">
        <f t="shared" si="35"/>
        <v>18</v>
      </c>
      <c r="H417" t="str">
        <f t="shared" si="34"/>
        <v>Luna Llena</v>
      </c>
      <c r="J417">
        <f t="shared" si="33"/>
        <v>5</v>
      </c>
      <c r="K417" t="str">
        <f t="shared" si="36"/>
        <v>Viernes</v>
      </c>
      <c r="L417" s="39">
        <f t="shared" si="37"/>
        <v>20</v>
      </c>
    </row>
    <row r="418" spans="2:12">
      <c r="B418" s="105" t="s">
        <v>319</v>
      </c>
      <c r="C418" s="39" t="s">
        <v>310</v>
      </c>
      <c r="D418" s="105" t="s">
        <v>298</v>
      </c>
      <c r="E418" s="39" t="s">
        <v>310</v>
      </c>
      <c r="F418" s="107" t="str">
        <f t="shared" si="32"/>
        <v>21/12/2024</v>
      </c>
      <c r="G418" s="92">
        <f t="shared" si="35"/>
        <v>19</v>
      </c>
      <c r="H418" t="str">
        <f t="shared" si="34"/>
        <v>Luna Llena</v>
      </c>
      <c r="J418">
        <f t="shared" si="33"/>
        <v>6</v>
      </c>
      <c r="K418" t="str">
        <f t="shared" si="36"/>
        <v>Sábado</v>
      </c>
      <c r="L418" s="39">
        <f t="shared" si="37"/>
        <v>21</v>
      </c>
    </row>
    <row r="419" spans="2:12">
      <c r="B419" s="105" t="s">
        <v>320</v>
      </c>
      <c r="C419" s="39" t="s">
        <v>310</v>
      </c>
      <c r="D419" s="105" t="s">
        <v>298</v>
      </c>
      <c r="E419" s="39" t="s">
        <v>310</v>
      </c>
      <c r="F419" s="107" t="str">
        <f t="shared" si="32"/>
        <v>22/12/2024</v>
      </c>
      <c r="G419" s="92">
        <f t="shared" si="35"/>
        <v>20</v>
      </c>
      <c r="H419" t="str">
        <f t="shared" si="34"/>
        <v>Luna Llena</v>
      </c>
      <c r="J419">
        <f t="shared" si="33"/>
        <v>0</v>
      </c>
      <c r="K419" t="str">
        <f t="shared" si="36"/>
        <v>Domingo</v>
      </c>
      <c r="L419" s="39">
        <f t="shared" si="37"/>
        <v>22</v>
      </c>
    </row>
    <row r="420" spans="2:12">
      <c r="B420" s="105" t="s">
        <v>321</v>
      </c>
      <c r="C420" s="39" t="s">
        <v>310</v>
      </c>
      <c r="D420" s="105" t="s">
        <v>298</v>
      </c>
      <c r="E420" s="39" t="s">
        <v>310</v>
      </c>
      <c r="F420" s="107" t="str">
        <f t="shared" si="32"/>
        <v>23/12/2024</v>
      </c>
      <c r="G420" s="92">
        <f t="shared" si="35"/>
        <v>21</v>
      </c>
      <c r="H420" t="str">
        <f t="shared" si="34"/>
        <v>Cuarto Menguante</v>
      </c>
      <c r="J420">
        <f t="shared" si="33"/>
        <v>1</v>
      </c>
      <c r="K420" t="str">
        <f t="shared" si="36"/>
        <v>Lunes</v>
      </c>
      <c r="L420" s="39">
        <f t="shared" si="37"/>
        <v>23</v>
      </c>
    </row>
    <row r="421" spans="2:12">
      <c r="B421" s="105" t="s">
        <v>322</v>
      </c>
      <c r="C421" s="39" t="s">
        <v>310</v>
      </c>
      <c r="D421" s="105" t="s">
        <v>298</v>
      </c>
      <c r="E421" s="39" t="s">
        <v>310</v>
      </c>
      <c r="F421" s="107" t="str">
        <f t="shared" si="32"/>
        <v>24/12/2024</v>
      </c>
      <c r="G421" s="92">
        <f t="shared" si="35"/>
        <v>22</v>
      </c>
      <c r="H421" t="str">
        <f t="shared" si="34"/>
        <v>Cuarto Menguante</v>
      </c>
      <c r="J421">
        <f t="shared" si="33"/>
        <v>2</v>
      </c>
      <c r="K421" t="str">
        <f t="shared" si="36"/>
        <v>Martes</v>
      </c>
      <c r="L421" s="39">
        <f t="shared" si="37"/>
        <v>24</v>
      </c>
    </row>
    <row r="422" spans="2:12">
      <c r="B422" s="105" t="s">
        <v>323</v>
      </c>
      <c r="C422" s="39" t="s">
        <v>310</v>
      </c>
      <c r="D422" s="105" t="s">
        <v>298</v>
      </c>
      <c r="E422" s="39" t="s">
        <v>310</v>
      </c>
      <c r="F422" s="107" t="str">
        <f t="shared" si="32"/>
        <v>25/12/2024</v>
      </c>
      <c r="G422" s="92">
        <f t="shared" si="35"/>
        <v>23</v>
      </c>
      <c r="H422" t="str">
        <f t="shared" si="34"/>
        <v>Cuarto Menguante</v>
      </c>
      <c r="J422">
        <f t="shared" si="33"/>
        <v>3</v>
      </c>
      <c r="K422" t="str">
        <f t="shared" si="36"/>
        <v>Miércoles</v>
      </c>
      <c r="L422" s="39">
        <f t="shared" si="37"/>
        <v>25</v>
      </c>
    </row>
    <row r="423" spans="2:12">
      <c r="B423" s="105" t="s">
        <v>324</v>
      </c>
      <c r="C423" s="39" t="s">
        <v>310</v>
      </c>
      <c r="D423" s="105" t="s">
        <v>298</v>
      </c>
      <c r="E423" s="39" t="s">
        <v>310</v>
      </c>
      <c r="F423" s="107" t="str">
        <f t="shared" si="32"/>
        <v>26/12/2024</v>
      </c>
      <c r="G423" s="92">
        <f t="shared" si="35"/>
        <v>24</v>
      </c>
      <c r="H423" t="str">
        <f t="shared" si="34"/>
        <v>Cuarto Menguante</v>
      </c>
      <c r="J423">
        <f t="shared" si="33"/>
        <v>4</v>
      </c>
      <c r="K423" t="str">
        <f t="shared" si="36"/>
        <v>Jueves</v>
      </c>
      <c r="L423" s="39">
        <f t="shared" si="37"/>
        <v>26</v>
      </c>
    </row>
    <row r="424" spans="2:12">
      <c r="B424" s="105" t="s">
        <v>325</v>
      </c>
      <c r="C424" s="39" t="s">
        <v>310</v>
      </c>
      <c r="D424" s="105" t="s">
        <v>298</v>
      </c>
      <c r="E424" s="39" t="s">
        <v>310</v>
      </c>
      <c r="F424" s="107" t="str">
        <f t="shared" si="32"/>
        <v>27/12/2024</v>
      </c>
      <c r="G424" s="92">
        <f t="shared" si="35"/>
        <v>25</v>
      </c>
      <c r="H424" t="str">
        <f t="shared" si="34"/>
        <v>Cuarto Menguante</v>
      </c>
      <c r="J424">
        <f t="shared" si="33"/>
        <v>5</v>
      </c>
      <c r="K424" t="str">
        <f t="shared" si="36"/>
        <v>Viernes</v>
      </c>
      <c r="L424" s="39">
        <f t="shared" si="37"/>
        <v>27</v>
      </c>
    </row>
    <row r="425" spans="2:12">
      <c r="B425" s="105" t="s">
        <v>326</v>
      </c>
      <c r="C425" s="39" t="s">
        <v>310</v>
      </c>
      <c r="D425" s="105" t="s">
        <v>298</v>
      </c>
      <c r="E425" s="39" t="s">
        <v>310</v>
      </c>
      <c r="F425" s="107" t="str">
        <f t="shared" si="32"/>
        <v>28/12/2024</v>
      </c>
      <c r="G425" s="92">
        <f t="shared" si="35"/>
        <v>26</v>
      </c>
      <c r="H425" t="str">
        <f t="shared" si="34"/>
        <v>Cuarto Menguante</v>
      </c>
      <c r="J425">
        <f t="shared" si="33"/>
        <v>6</v>
      </c>
      <c r="K425" t="str">
        <f t="shared" si="36"/>
        <v>Sábado</v>
      </c>
      <c r="L425" s="39">
        <f t="shared" si="37"/>
        <v>28</v>
      </c>
    </row>
    <row r="426" spans="2:12">
      <c r="B426" s="105">
        <v>29</v>
      </c>
      <c r="C426" s="39" t="s">
        <v>310</v>
      </c>
      <c r="D426" s="105" t="s">
        <v>298</v>
      </c>
      <c r="E426" s="39" t="s">
        <v>310</v>
      </c>
      <c r="F426" s="107" t="str">
        <f t="shared" si="32"/>
        <v>29/12/2024</v>
      </c>
      <c r="G426" s="92">
        <f t="shared" si="35"/>
        <v>27</v>
      </c>
      <c r="H426" t="str">
        <f t="shared" si="34"/>
        <v>Cuarto Menguante</v>
      </c>
      <c r="J426">
        <f t="shared" si="33"/>
        <v>0</v>
      </c>
      <c r="K426" t="str">
        <f t="shared" si="36"/>
        <v>Domingo</v>
      </c>
      <c r="L426" s="39">
        <f t="shared" si="37"/>
        <v>29</v>
      </c>
    </row>
    <row r="427" spans="2:12">
      <c r="B427" s="105">
        <v>30</v>
      </c>
      <c r="C427" s="39" t="s">
        <v>310</v>
      </c>
      <c r="D427" s="105" t="s">
        <v>298</v>
      </c>
      <c r="E427" s="39" t="s">
        <v>310</v>
      </c>
      <c r="F427" s="107" t="str">
        <f t="shared" si="32"/>
        <v>30/12/2024</v>
      </c>
      <c r="G427" s="92">
        <f t="shared" si="35"/>
        <v>28</v>
      </c>
      <c r="H427" t="str">
        <f t="shared" si="34"/>
        <v>Luna Nueva</v>
      </c>
      <c r="J427">
        <f t="shared" si="33"/>
        <v>1</v>
      </c>
      <c r="K427" t="str">
        <f t="shared" si="36"/>
        <v>Lunes</v>
      </c>
      <c r="L427" s="39">
        <f t="shared" si="37"/>
        <v>30</v>
      </c>
    </row>
    <row r="428" spans="2:12">
      <c r="B428" s="105">
        <v>31</v>
      </c>
      <c r="C428" s="39" t="s">
        <v>310</v>
      </c>
      <c r="D428" s="105" t="s">
        <v>298</v>
      </c>
      <c r="E428" s="39" t="s">
        <v>310</v>
      </c>
      <c r="F428" s="107" t="str">
        <f t="shared" si="32"/>
        <v>31/12/2024</v>
      </c>
      <c r="G428" s="92">
        <f t="shared" si="35"/>
        <v>29</v>
      </c>
      <c r="H428" t="str">
        <f t="shared" si="34"/>
        <v>Luna Nueva</v>
      </c>
      <c r="J428">
        <f t="shared" si="33"/>
        <v>2</v>
      </c>
      <c r="K428" t="str">
        <f t="shared" si="36"/>
        <v>Martes</v>
      </c>
      <c r="L428" s="39">
        <f t="shared" si="37"/>
        <v>31</v>
      </c>
    </row>
  </sheetData>
  <sheetProtection password="888B" sheet="1" objects="1" scenarios="1"/>
  <customSheetViews>
    <customSheetView guid="{93FD35E9-1E2C-4BB9-BB5F-2E73C17EC4AF}" showGridLines="0" showRowCol="0" outlineSymbols="0" zeroValues="0" state="hidden" topLeftCell="A75">
      <selection activeCell="K80" sqref="K80"/>
      <pageMargins left="0.75" right="0.75" top="1" bottom="1" header="0" footer="0"/>
      <headerFooter alignWithMargins="0"/>
    </customSheetView>
  </customSheetViews>
  <mergeCells count="6">
    <mergeCell ref="Q95:R95"/>
    <mergeCell ref="P22:Q22"/>
    <mergeCell ref="I16:J16"/>
    <mergeCell ref="L16:M16"/>
    <mergeCell ref="M18:N18"/>
    <mergeCell ref="O20:P20"/>
  </mergeCells>
  <phoneticPr fontId="24" type="noConversion"/>
  <pageMargins left="0.75" right="0.75" top="1" bottom="1" header="0" footer="0"/>
  <headerFooter alignWithMargins="0"/>
</worksheet>
</file>

<file path=xl/worksheets/sheet10.xml><?xml version="1.0" encoding="utf-8"?>
<worksheet xmlns="http://schemas.openxmlformats.org/spreadsheetml/2006/main" xmlns:r="http://schemas.openxmlformats.org/officeDocument/2006/relationships">
  <sheetPr codeName="Hoja10"/>
  <dimension ref="B1:AP71"/>
  <sheetViews>
    <sheetView showGridLines="0" showRowColHeaders="0" showZeros="0" showOutlineSymbols="0" zoomScale="125" zoomScaleNormal="125" workbookViewId="0">
      <selection activeCell="S72" sqref="S72"/>
    </sheetView>
  </sheetViews>
  <sheetFormatPr baseColWidth="10" defaultColWidth="3.33203125" defaultRowHeight="13.2"/>
  <sheetData>
    <row r="1" spans="2:42" ht="10.5" customHeight="1" thickBot="1">
      <c r="B1" s="1107" t="s">
        <v>991</v>
      </c>
      <c r="C1" s="1096"/>
      <c r="D1" s="1096"/>
      <c r="E1" s="1096"/>
      <c r="F1" s="1096"/>
      <c r="G1" s="1096"/>
      <c r="H1" s="1096"/>
      <c r="I1" s="1096"/>
      <c r="J1" s="1096"/>
      <c r="K1" s="1096"/>
      <c r="L1" s="1096"/>
      <c r="M1" s="1096"/>
      <c r="N1" s="1096"/>
      <c r="O1" s="1096"/>
      <c r="P1" s="1096"/>
      <c r="Q1" s="1096"/>
      <c r="R1" s="1096"/>
      <c r="S1" s="1096"/>
      <c r="T1" s="1096"/>
      <c r="U1" s="1097"/>
      <c r="V1" s="1055" t="str">
        <f>año!$S$13</f>
        <v>JULIO</v>
      </c>
      <c r="W1" s="1056"/>
      <c r="X1" s="1056"/>
      <c r="Y1" s="1056"/>
      <c r="Z1" s="1056"/>
      <c r="AA1" s="1057">
        <f>año!$O$1</f>
        <v>2024</v>
      </c>
      <c r="AB1" s="1058"/>
      <c r="AJ1" s="1055" t="str">
        <f>año!$C$22</f>
        <v>SEPTIEMBRE</v>
      </c>
      <c r="AK1" s="1056"/>
      <c r="AL1" s="1056"/>
      <c r="AM1" s="1056"/>
      <c r="AN1" s="1056"/>
      <c r="AO1" s="1098">
        <f>año!$O$1</f>
        <v>2024</v>
      </c>
      <c r="AP1" s="1099"/>
    </row>
    <row r="2" spans="2:42" ht="9" customHeight="1" thickBot="1">
      <c r="B2" s="1107"/>
      <c r="C2" s="1096"/>
      <c r="D2" s="1096"/>
      <c r="E2" s="1096"/>
      <c r="F2" s="1096"/>
      <c r="G2" s="1096"/>
      <c r="H2" s="1096"/>
      <c r="I2" s="1096"/>
      <c r="J2" s="1096"/>
      <c r="K2" s="1096"/>
      <c r="L2" s="1096"/>
      <c r="M2" s="1096"/>
      <c r="N2" s="1096"/>
      <c r="O2" s="1096"/>
      <c r="P2" s="1096"/>
      <c r="Q2" s="1096"/>
      <c r="R2" s="1096"/>
      <c r="S2" s="1096"/>
      <c r="T2" s="1096"/>
      <c r="U2" s="1097"/>
      <c r="V2" s="119" t="s">
        <v>20</v>
      </c>
      <c r="W2" s="120" t="s">
        <v>17</v>
      </c>
      <c r="X2" s="120" t="s">
        <v>29</v>
      </c>
      <c r="Y2" s="120" t="s">
        <v>24</v>
      </c>
      <c r="Z2" s="120" t="s">
        <v>12</v>
      </c>
      <c r="AA2" s="120" t="s">
        <v>7</v>
      </c>
      <c r="AB2" s="121" t="s">
        <v>15</v>
      </c>
      <c r="AD2" s="1126" t="str">
        <f>año!$AA$13</f>
        <v>AGOSTO</v>
      </c>
      <c r="AE2" s="1126"/>
      <c r="AF2" s="1126"/>
      <c r="AG2" s="1126"/>
      <c r="AH2" s="1126"/>
      <c r="AJ2" s="119" t="s">
        <v>20</v>
      </c>
      <c r="AK2" s="120" t="s">
        <v>17</v>
      </c>
      <c r="AL2" s="120" t="s">
        <v>29</v>
      </c>
      <c r="AM2" s="120" t="s">
        <v>24</v>
      </c>
      <c r="AN2" s="120" t="s">
        <v>12</v>
      </c>
      <c r="AO2" s="120" t="s">
        <v>7</v>
      </c>
      <c r="AP2" s="121" t="s">
        <v>15</v>
      </c>
    </row>
    <row r="3" spans="2:42" ht="9" customHeight="1">
      <c r="B3" s="1107"/>
      <c r="C3" s="1096"/>
      <c r="D3" s="1096"/>
      <c r="E3" s="1096"/>
      <c r="F3" s="1096"/>
      <c r="G3" s="1096"/>
      <c r="H3" s="1096"/>
      <c r="I3" s="1096"/>
      <c r="J3" s="1096"/>
      <c r="K3" s="1096"/>
      <c r="L3" s="1096"/>
      <c r="M3" s="1096"/>
      <c r="N3" s="1096"/>
      <c r="O3" s="1096"/>
      <c r="P3" s="1096"/>
      <c r="Q3" s="1096"/>
      <c r="R3" s="1096"/>
      <c r="S3" s="1096"/>
      <c r="T3" s="1096"/>
      <c r="U3" s="1097"/>
      <c r="V3" s="393">
        <f>JUNIO!AJ3</f>
        <v>1</v>
      </c>
      <c r="W3" s="123">
        <f>JUNIO!AK3</f>
        <v>2</v>
      </c>
      <c r="X3" s="123">
        <f>JUNIO!AL3</f>
        <v>3</v>
      </c>
      <c r="Y3" s="123">
        <f>JUNIO!AM3</f>
        <v>4</v>
      </c>
      <c r="Z3" s="123">
        <f>JUNIO!AN3</f>
        <v>5</v>
      </c>
      <c r="AA3" s="123">
        <f>JUNIO!AO3</f>
        <v>6</v>
      </c>
      <c r="AB3" s="132">
        <f>JUNIO!AP3</f>
        <v>7</v>
      </c>
      <c r="AD3" s="1126"/>
      <c r="AE3" s="1126"/>
      <c r="AF3" s="1126"/>
      <c r="AG3" s="1126"/>
      <c r="AH3" s="1126"/>
      <c r="AJ3" s="128" t="str">
        <f>año!C24</f>
        <v xml:space="preserve"> </v>
      </c>
      <c r="AK3" s="129" t="str">
        <f>año!D24</f>
        <v xml:space="preserve"> </v>
      </c>
      <c r="AL3" s="129" t="str">
        <f>año!E24</f>
        <v xml:space="preserve"> </v>
      </c>
      <c r="AM3" s="129" t="str">
        <f>año!F24</f>
        <v xml:space="preserve"> </v>
      </c>
      <c r="AN3" s="129" t="str">
        <f>año!G24</f>
        <v xml:space="preserve"> </v>
      </c>
      <c r="AO3" s="129" t="str">
        <f>año!H24</f>
        <v xml:space="preserve"> </v>
      </c>
      <c r="AP3" s="132">
        <f>año!I24</f>
        <v>1</v>
      </c>
    </row>
    <row r="4" spans="2:42" ht="9" customHeight="1">
      <c r="B4" s="350"/>
      <c r="C4" s="349"/>
      <c r="D4" s="349"/>
      <c r="E4" s="349"/>
      <c r="F4" s="349"/>
      <c r="G4" s="349"/>
      <c r="H4" s="349"/>
      <c r="I4" s="349"/>
      <c r="J4" s="349"/>
      <c r="K4" s="349"/>
      <c r="L4" s="349"/>
      <c r="M4" s="349"/>
      <c r="N4" s="349"/>
      <c r="O4" s="349"/>
      <c r="P4" s="349"/>
      <c r="Q4" s="349"/>
      <c r="R4" s="349"/>
      <c r="S4" s="349"/>
      <c r="T4" s="349"/>
      <c r="U4" s="351"/>
      <c r="V4" s="124">
        <f>JUNIO!AJ4</f>
        <v>8</v>
      </c>
      <c r="W4" s="125">
        <f>JUNIO!AK4</f>
        <v>9</v>
      </c>
      <c r="X4" s="125">
        <f>JUNIO!AL4</f>
        <v>10</v>
      </c>
      <c r="Y4" s="125">
        <f>JUNIO!AM4</f>
        <v>11</v>
      </c>
      <c r="Z4" s="125">
        <f>JUNIO!AN4</f>
        <v>12</v>
      </c>
      <c r="AA4" s="125">
        <f>JUNIO!AO4</f>
        <v>13</v>
      </c>
      <c r="AB4" s="133">
        <f>JUNIO!AP4</f>
        <v>14</v>
      </c>
      <c r="AD4" s="1126"/>
      <c r="AE4" s="1126"/>
      <c r="AF4" s="1126"/>
      <c r="AG4" s="1126"/>
      <c r="AH4" s="1126"/>
      <c r="AJ4" s="130">
        <f>año!C25</f>
        <v>2</v>
      </c>
      <c r="AK4" s="131">
        <f>año!D25</f>
        <v>3</v>
      </c>
      <c r="AL4" s="131">
        <f>año!E25</f>
        <v>4</v>
      </c>
      <c r="AM4" s="131">
        <f>año!F25</f>
        <v>5</v>
      </c>
      <c r="AN4" s="399">
        <f>año!G25</f>
        <v>6</v>
      </c>
      <c r="AO4" s="709">
        <f>año!H25</f>
        <v>7</v>
      </c>
      <c r="AP4" s="416">
        <f>año!I25</f>
        <v>8</v>
      </c>
    </row>
    <row r="5" spans="2:42" ht="9" customHeight="1">
      <c r="B5" s="350"/>
      <c r="D5" s="349"/>
      <c r="E5" s="349"/>
      <c r="F5" s="349"/>
      <c r="G5" s="349"/>
      <c r="H5" s="349"/>
      <c r="I5" s="349"/>
      <c r="J5" s="349"/>
      <c r="K5" s="349"/>
      <c r="L5" s="349"/>
      <c r="M5" s="349"/>
      <c r="N5" s="349"/>
      <c r="O5" s="349"/>
      <c r="P5" s="349"/>
      <c r="Q5" s="349"/>
      <c r="R5" s="349"/>
      <c r="S5" s="349"/>
      <c r="T5" s="349"/>
      <c r="U5" s="351"/>
      <c r="V5" s="124">
        <f>JUNIO!AJ5</f>
        <v>15</v>
      </c>
      <c r="W5" s="125">
        <f>JUNIO!AK5</f>
        <v>16</v>
      </c>
      <c r="X5" s="125">
        <f>JUNIO!AL5</f>
        <v>17</v>
      </c>
      <c r="Y5" s="125">
        <f>JUNIO!AM5</f>
        <v>18</v>
      </c>
      <c r="Z5" s="342">
        <f>JUNIO!AN5</f>
        <v>19</v>
      </c>
      <c r="AA5" s="399">
        <f>JUNIO!AO5</f>
        <v>20</v>
      </c>
      <c r="AB5" s="400">
        <f>JUNIO!AP5</f>
        <v>21</v>
      </c>
      <c r="AD5" s="1044">
        <f>año!$O$1</f>
        <v>2024</v>
      </c>
      <c r="AE5" s="1045"/>
      <c r="AF5" s="1045"/>
      <c r="AG5" s="1045"/>
      <c r="AH5" s="1045"/>
      <c r="AJ5" s="384">
        <f>año!C26</f>
        <v>9</v>
      </c>
      <c r="AK5" s="131">
        <f>año!D26</f>
        <v>10</v>
      </c>
      <c r="AL5" s="131">
        <f>año!E26</f>
        <v>11</v>
      </c>
      <c r="AM5" s="131">
        <f>año!F26</f>
        <v>12</v>
      </c>
      <c r="AN5" s="131">
        <f>año!G26</f>
        <v>13</v>
      </c>
      <c r="AO5" s="131">
        <f>año!H26</f>
        <v>14</v>
      </c>
      <c r="AP5" s="133">
        <f>año!I26</f>
        <v>15</v>
      </c>
    </row>
    <row r="6" spans="2:42" ht="9" customHeight="1">
      <c r="B6" s="350"/>
      <c r="D6" s="349"/>
      <c r="E6" s="349"/>
      <c r="F6" s="349"/>
      <c r="G6" s="349"/>
      <c r="H6" s="349"/>
      <c r="I6" s="349"/>
      <c r="J6" s="349"/>
      <c r="K6" s="349"/>
      <c r="L6" s="349"/>
      <c r="M6" s="349"/>
      <c r="N6" s="349"/>
      <c r="O6" s="349"/>
      <c r="P6" s="349"/>
      <c r="Q6" s="349"/>
      <c r="R6" s="349"/>
      <c r="S6" s="349"/>
      <c r="T6" s="349"/>
      <c r="U6" s="351"/>
      <c r="V6" s="124">
        <f>JUNIO!AJ6</f>
        <v>22</v>
      </c>
      <c r="W6" s="125">
        <f>JUNIO!AK6</f>
        <v>23</v>
      </c>
      <c r="X6" s="125">
        <f>JUNIO!AL6</f>
        <v>24</v>
      </c>
      <c r="Y6" s="125">
        <f>JUNIO!AM6</f>
        <v>25</v>
      </c>
      <c r="Z6" s="125">
        <f>JUNIO!AN6</f>
        <v>26</v>
      </c>
      <c r="AA6" s="125">
        <f>JUNIO!AO6</f>
        <v>27</v>
      </c>
      <c r="AB6" s="133">
        <f>JUNIO!AP6</f>
        <v>28</v>
      </c>
      <c r="AD6" s="1045"/>
      <c r="AE6" s="1045"/>
      <c r="AF6" s="1045"/>
      <c r="AG6" s="1045"/>
      <c r="AH6" s="1045"/>
      <c r="AJ6" s="130">
        <f>año!C27</f>
        <v>16</v>
      </c>
      <c r="AK6" s="131">
        <f>año!D27</f>
        <v>17</v>
      </c>
      <c r="AL6" s="131">
        <f>año!E27</f>
        <v>18</v>
      </c>
      <c r="AM6" s="131">
        <f>año!F27</f>
        <v>19</v>
      </c>
      <c r="AN6" s="131">
        <f>año!G27</f>
        <v>20</v>
      </c>
      <c r="AO6" s="131">
        <f>año!H27</f>
        <v>21</v>
      </c>
      <c r="AP6" s="133">
        <f>año!I27</f>
        <v>22</v>
      </c>
    </row>
    <row r="7" spans="2:42" ht="9" customHeight="1">
      <c r="B7" s="350"/>
      <c r="C7" s="349"/>
      <c r="D7" s="349"/>
      <c r="E7" s="349"/>
      <c r="F7" s="349"/>
      <c r="G7" s="349"/>
      <c r="H7" s="349"/>
      <c r="I7" s="349"/>
      <c r="J7" s="349"/>
      <c r="K7" s="349"/>
      <c r="L7" s="349"/>
      <c r="M7" s="349"/>
      <c r="N7" s="349"/>
      <c r="O7" s="349"/>
      <c r="P7" s="349"/>
      <c r="Q7" s="349"/>
      <c r="R7" s="349"/>
      <c r="S7" s="349"/>
      <c r="T7" s="349"/>
      <c r="U7" s="351"/>
      <c r="V7" s="124">
        <f>JUNIO!AJ7</f>
        <v>29</v>
      </c>
      <c r="W7" s="125">
        <f>JUNIO!AK7</f>
        <v>30</v>
      </c>
      <c r="X7" s="125">
        <f>JUNIO!AL7</f>
        <v>31</v>
      </c>
      <c r="Y7" s="125" t="str">
        <f>JUNIO!AM7</f>
        <v xml:space="preserve"> </v>
      </c>
      <c r="Z7" s="125" t="str">
        <f>JUNIO!AN7</f>
        <v xml:space="preserve"> </v>
      </c>
      <c r="AA7" s="125" t="str">
        <f>JUNIO!AO7</f>
        <v xml:space="preserve"> </v>
      </c>
      <c r="AB7" s="133" t="str">
        <f>JUNIO!AP7</f>
        <v xml:space="preserve"> </v>
      </c>
      <c r="AD7" s="1045"/>
      <c r="AE7" s="1045"/>
      <c r="AF7" s="1045"/>
      <c r="AG7" s="1045"/>
      <c r="AH7" s="1045"/>
      <c r="AJ7" s="130">
        <f>año!C28</f>
        <v>23</v>
      </c>
      <c r="AK7" s="131">
        <f>año!D28</f>
        <v>24</v>
      </c>
      <c r="AL7" s="131">
        <f>año!E28</f>
        <v>25</v>
      </c>
      <c r="AM7" s="131">
        <f>año!F28</f>
        <v>26</v>
      </c>
      <c r="AN7" s="131">
        <f>año!G28</f>
        <v>27</v>
      </c>
      <c r="AO7" s="131">
        <f>año!H28</f>
        <v>28</v>
      </c>
      <c r="AP7" s="133">
        <f>año!I28</f>
        <v>29</v>
      </c>
    </row>
    <row r="8" spans="2:42" ht="9" customHeight="1" thickBot="1">
      <c r="B8" s="350"/>
      <c r="C8" s="349"/>
      <c r="D8" s="349"/>
      <c r="E8" s="349"/>
      <c r="F8" s="349"/>
      <c r="G8" s="349"/>
      <c r="H8" s="349"/>
      <c r="I8" s="349"/>
      <c r="J8" s="349"/>
      <c r="K8" s="349"/>
      <c r="L8" s="349"/>
      <c r="M8" s="349"/>
      <c r="N8" s="349"/>
      <c r="O8" s="349"/>
      <c r="P8" s="349"/>
      <c r="Q8" s="349"/>
      <c r="R8" s="349"/>
      <c r="S8" s="349"/>
      <c r="T8" s="349"/>
      <c r="U8" s="352"/>
      <c r="V8" s="126" t="str">
        <f>JUNIO!AJ8</f>
        <v xml:space="preserve"> </v>
      </c>
      <c r="W8" s="127" t="str">
        <f>JUNIO!AK8</f>
        <v xml:space="preserve"> </v>
      </c>
      <c r="X8" s="127" t="str">
        <f>JUNIO!AL8</f>
        <v xml:space="preserve"> </v>
      </c>
      <c r="Y8" s="127" t="str">
        <f>JUNIO!AM8</f>
        <v xml:space="preserve"> </v>
      </c>
      <c r="Z8" s="127" t="str">
        <f>JUNIO!AN8</f>
        <v xml:space="preserve"> </v>
      </c>
      <c r="AA8" s="127" t="str">
        <f>JUNIO!AO8</f>
        <v xml:space="preserve"> </v>
      </c>
      <c r="AB8" s="134" t="str">
        <f>JUNIO!AP8</f>
        <v xml:space="preserve"> </v>
      </c>
      <c r="AJ8" s="126">
        <f>año!C29</f>
        <v>30</v>
      </c>
      <c r="AK8" s="127" t="str">
        <f>año!D29</f>
        <v xml:space="preserve"> </v>
      </c>
      <c r="AL8" s="127" t="str">
        <f>año!E29</f>
        <v xml:space="preserve"> </v>
      </c>
      <c r="AM8" s="127" t="str">
        <f>año!F29</f>
        <v xml:space="preserve"> </v>
      </c>
      <c r="AN8" s="127" t="str">
        <f>año!G29</f>
        <v xml:space="preserve"> </v>
      </c>
      <c r="AO8" s="127" t="str">
        <f>año!H29</f>
        <v xml:space="preserve"> </v>
      </c>
      <c r="AP8" s="137" t="str">
        <f>año!I29</f>
        <v xml:space="preserve"> </v>
      </c>
    </row>
    <row r="9" spans="2:42" ht="9" customHeight="1">
      <c r="B9" s="350"/>
      <c r="C9" s="349"/>
      <c r="D9" s="349"/>
      <c r="E9" s="349"/>
      <c r="F9" s="349"/>
      <c r="G9" s="349"/>
      <c r="H9" s="349"/>
      <c r="I9" s="349"/>
      <c r="J9" s="349"/>
      <c r="K9" s="349"/>
      <c r="L9" s="349"/>
      <c r="M9" s="349"/>
      <c r="N9" s="349"/>
      <c r="O9" s="349"/>
      <c r="P9" s="349"/>
      <c r="Q9" s="349"/>
      <c r="R9" s="349"/>
      <c r="S9" s="349"/>
      <c r="T9" s="349"/>
      <c r="U9" s="352"/>
      <c r="V9" s="112"/>
      <c r="W9" s="112"/>
      <c r="X9" s="112"/>
      <c r="Y9" s="112"/>
      <c r="Z9" s="112"/>
      <c r="AA9" s="112"/>
      <c r="AB9" s="112"/>
      <c r="AC9" s="112"/>
      <c r="AD9" s="112"/>
      <c r="AE9" s="112"/>
      <c r="AF9" s="112"/>
      <c r="AG9" s="112"/>
      <c r="AH9" s="112"/>
      <c r="AI9" s="112"/>
      <c r="AJ9" s="112"/>
      <c r="AK9" s="112"/>
      <c r="AL9" s="112"/>
      <c r="AM9" s="112"/>
      <c r="AN9" s="112"/>
      <c r="AO9" s="112"/>
      <c r="AP9" s="112"/>
    </row>
    <row r="10" spans="2:42" ht="9" customHeight="1">
      <c r="B10" s="350"/>
      <c r="C10" s="349"/>
      <c r="D10" s="349"/>
      <c r="E10" s="349"/>
      <c r="F10" s="349"/>
      <c r="G10" s="349"/>
      <c r="H10" s="349"/>
      <c r="I10" s="349"/>
      <c r="J10" s="349"/>
      <c r="K10" s="349"/>
      <c r="L10" s="349"/>
      <c r="M10" s="349"/>
      <c r="N10" s="349"/>
      <c r="O10" s="349"/>
      <c r="P10" s="349"/>
      <c r="Q10" s="349"/>
      <c r="R10" s="349"/>
      <c r="S10" s="349"/>
      <c r="T10" s="349"/>
      <c r="U10" s="352"/>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047"/>
    </row>
    <row r="11" spans="2:42" ht="9" customHeight="1">
      <c r="B11" s="350"/>
      <c r="C11" s="349"/>
      <c r="D11" s="349"/>
      <c r="E11" s="349"/>
      <c r="F11" s="349"/>
      <c r="G11" s="349"/>
      <c r="H11" s="349"/>
      <c r="I11" s="349"/>
      <c r="J11" s="349"/>
      <c r="K11" s="349"/>
      <c r="L11" s="349"/>
      <c r="M11" s="349"/>
      <c r="N11" s="349"/>
      <c r="O11" s="349"/>
      <c r="P11" s="349"/>
      <c r="Q11" s="349"/>
      <c r="R11" s="349"/>
      <c r="S11" s="349"/>
      <c r="T11" s="349"/>
      <c r="U11" s="352"/>
      <c r="V11" s="1060" t="str">
        <f>año!AA15</f>
        <v xml:space="preserve"> </v>
      </c>
      <c r="W11" s="1061"/>
      <c r="X11" s="1061"/>
      <c r="Y11" s="1061" t="str">
        <f>año!AB15</f>
        <v xml:space="preserve"> </v>
      </c>
      <c r="Z11" s="1061"/>
      <c r="AA11" s="1061"/>
      <c r="AB11" s="1052" t="str">
        <f>año!AC15</f>
        <v xml:space="preserve"> </v>
      </c>
      <c r="AC11" s="1052"/>
      <c r="AD11" s="1052"/>
      <c r="AE11" s="1052">
        <f>año!AD15</f>
        <v>1</v>
      </c>
      <c r="AF11" s="1052"/>
      <c r="AG11" s="1052"/>
      <c r="AH11" s="1052">
        <f>año!AE15</f>
        <v>2</v>
      </c>
      <c r="AI11" s="1052"/>
      <c r="AJ11" s="1052"/>
      <c r="AK11" s="1052">
        <f>año!AF15</f>
        <v>3</v>
      </c>
      <c r="AL11" s="1052"/>
      <c r="AM11" s="1052"/>
      <c r="AN11" s="1062">
        <f>año!AG15</f>
        <v>4</v>
      </c>
      <c r="AO11" s="1062"/>
      <c r="AP11" s="1063"/>
    </row>
    <row r="12" spans="2:42" ht="9" customHeight="1">
      <c r="B12" s="350"/>
      <c r="C12" s="349"/>
      <c r="D12" s="349"/>
      <c r="E12" s="349"/>
      <c r="F12" s="349"/>
      <c r="G12" s="349"/>
      <c r="H12" s="349"/>
      <c r="I12" s="349"/>
      <c r="J12" s="349"/>
      <c r="K12" s="349"/>
      <c r="L12" s="349"/>
      <c r="M12" s="349"/>
      <c r="N12" s="349"/>
      <c r="O12" s="349"/>
      <c r="P12" s="349"/>
      <c r="Q12" s="349"/>
      <c r="R12" s="349"/>
      <c r="S12" s="349"/>
      <c r="T12" s="349"/>
      <c r="U12" s="352"/>
      <c r="V12" s="1051"/>
      <c r="W12" s="1052"/>
      <c r="X12" s="1052"/>
      <c r="Y12" s="1052"/>
      <c r="Z12" s="1052"/>
      <c r="AA12" s="1052"/>
      <c r="AB12" s="1052"/>
      <c r="AC12" s="1052"/>
      <c r="AD12" s="1052"/>
      <c r="AE12" s="1052"/>
      <c r="AF12" s="1052"/>
      <c r="AG12" s="1052"/>
      <c r="AH12" s="1052"/>
      <c r="AI12" s="1052"/>
      <c r="AJ12" s="1052"/>
      <c r="AK12" s="1052"/>
      <c r="AL12" s="1052"/>
      <c r="AM12" s="1052"/>
      <c r="AN12" s="1064"/>
      <c r="AO12" s="1064"/>
      <c r="AP12" s="1065"/>
    </row>
    <row r="13" spans="2:42" ht="9" customHeight="1">
      <c r="B13" s="350"/>
      <c r="C13" s="349"/>
      <c r="D13" s="349"/>
      <c r="E13" s="349"/>
      <c r="F13" s="349"/>
      <c r="G13" s="349"/>
      <c r="H13" s="349"/>
      <c r="I13" s="349"/>
      <c r="J13" s="349"/>
      <c r="K13" s="349"/>
      <c r="L13" s="349"/>
      <c r="M13" s="349"/>
      <c r="N13" s="349"/>
      <c r="O13" s="349"/>
      <c r="P13" s="349"/>
      <c r="Q13" s="349"/>
      <c r="R13" s="349"/>
      <c r="S13" s="349"/>
      <c r="T13" s="349"/>
      <c r="U13" s="352"/>
      <c r="V13" s="1051"/>
      <c r="W13" s="1052"/>
      <c r="X13" s="1052"/>
      <c r="Y13" s="1052"/>
      <c r="Z13" s="1052"/>
      <c r="AA13" s="1052"/>
      <c r="AB13" s="1052"/>
      <c r="AC13" s="1052"/>
      <c r="AD13" s="1052"/>
      <c r="AE13" s="1052"/>
      <c r="AF13" s="1052"/>
      <c r="AG13" s="1052"/>
      <c r="AH13" s="1052"/>
      <c r="AI13" s="1052"/>
      <c r="AJ13" s="1052"/>
      <c r="AK13" s="1052"/>
      <c r="AL13" s="1052"/>
      <c r="AM13" s="1052"/>
      <c r="AN13" s="1064"/>
      <c r="AO13" s="1064"/>
      <c r="AP13" s="1065"/>
    </row>
    <row r="14" spans="2:42" ht="9" customHeight="1">
      <c r="B14" s="350"/>
      <c r="C14" s="349"/>
      <c r="D14" s="349"/>
      <c r="E14" s="349"/>
      <c r="F14" s="349"/>
      <c r="G14" s="349"/>
      <c r="H14" s="349"/>
      <c r="I14" s="349"/>
      <c r="J14" s="349"/>
      <c r="K14" s="349"/>
      <c r="L14" s="349"/>
      <c r="M14" s="349"/>
      <c r="N14" s="349"/>
      <c r="O14" s="349"/>
      <c r="P14" s="349"/>
      <c r="Q14" s="349"/>
      <c r="R14" s="349"/>
      <c r="S14" s="349"/>
      <c r="T14" s="349"/>
      <c r="U14" s="352"/>
      <c r="V14" s="1049" t="str">
        <f>IF(V11&lt;&gt;" ",VLOOKUP(V11,$F$40:$H$70,2)," ")</f>
        <v xml:space="preserve"> </v>
      </c>
      <c r="W14" s="1050"/>
      <c r="X14" s="1050"/>
      <c r="Y14" s="1050" t="str">
        <f>IF(Y11&lt;&gt;" ",VLOOKUP(Y11,$F$40:$H$70,2)," ")</f>
        <v xml:space="preserve"> </v>
      </c>
      <c r="Z14" s="1050"/>
      <c r="AA14" s="1050"/>
      <c r="AB14" s="1050" t="str">
        <f>IF(AB11&lt;&gt;" ",VLOOKUP(AB11,$F$40:$H$70,2)," ")</f>
        <v xml:space="preserve"> </v>
      </c>
      <c r="AC14" s="1050"/>
      <c r="AD14" s="1050"/>
      <c r="AE14" s="1050" t="str">
        <f>IF(AE11&lt;&gt;" ",VLOOKUP(AE11,$F$40:$H$70,2)," ")</f>
        <v>Alfonso Mª</v>
      </c>
      <c r="AF14" s="1050"/>
      <c r="AG14" s="1050"/>
      <c r="AH14" s="1050" t="str">
        <f>IF(AH11&lt;&gt;" ",VLOOKUP(AH11,$F$40:$H$70,2)," ")</f>
        <v>Ntra.Sra.Ángeles</v>
      </c>
      <c r="AI14" s="1050"/>
      <c r="AJ14" s="1050"/>
      <c r="AK14" s="1050" t="str">
        <f>IF(AK11&lt;&gt;" ",VLOOKUP(AK11,$F$40:$H$70,2)," ")</f>
        <v>Lidia</v>
      </c>
      <c r="AL14" s="1050"/>
      <c r="AM14" s="1050"/>
      <c r="AN14" s="1050" t="str">
        <f>IF(AN11&lt;&gt;" ",VLOOKUP(AN11,$F$40:$H$70,2)," ")</f>
        <v>Juan Maria</v>
      </c>
      <c r="AO14" s="1050"/>
      <c r="AP14" s="1066"/>
    </row>
    <row r="15" spans="2:42" ht="9" customHeight="1">
      <c r="B15" s="350"/>
      <c r="C15" s="349"/>
      <c r="D15" s="349"/>
      <c r="E15" s="349"/>
      <c r="F15" s="349"/>
      <c r="G15" s="349"/>
      <c r="H15" s="349"/>
      <c r="I15" s="349"/>
      <c r="J15" s="349"/>
      <c r="K15" s="349"/>
      <c r="L15" s="349"/>
      <c r="M15" s="349"/>
      <c r="N15" s="349"/>
      <c r="O15" s="349"/>
      <c r="P15" s="349"/>
      <c r="Q15" s="349"/>
      <c r="R15" s="349"/>
      <c r="S15" s="349"/>
      <c r="T15" s="349"/>
      <c r="U15" s="352"/>
      <c r="V15" s="1051">
        <f>año!AA16</f>
        <v>5</v>
      </c>
      <c r="W15" s="1052"/>
      <c r="X15" s="1052"/>
      <c r="Y15" s="1052">
        <f>año!AB16</f>
        <v>6</v>
      </c>
      <c r="Z15" s="1052"/>
      <c r="AA15" s="1052"/>
      <c r="AB15" s="1052">
        <f>año!AC16</f>
        <v>7</v>
      </c>
      <c r="AC15" s="1052"/>
      <c r="AD15" s="1052"/>
      <c r="AE15" s="1127">
        <f>año!AD16</f>
        <v>8</v>
      </c>
      <c r="AF15" s="1127"/>
      <c r="AG15" s="1127"/>
      <c r="AH15" s="1052">
        <f>año!AE16</f>
        <v>9</v>
      </c>
      <c r="AI15" s="1052"/>
      <c r="AJ15" s="1052"/>
      <c r="AK15" s="1110">
        <f>año!AF16</f>
        <v>10</v>
      </c>
      <c r="AL15" s="1110"/>
      <c r="AM15" s="1110"/>
      <c r="AN15" s="1128">
        <f>año!AG16</f>
        <v>11</v>
      </c>
      <c r="AO15" s="1128"/>
      <c r="AP15" s="1129"/>
    </row>
    <row r="16" spans="2:42" ht="9" customHeight="1">
      <c r="B16" s="350"/>
      <c r="C16" s="349"/>
      <c r="D16" s="349"/>
      <c r="E16" s="349"/>
      <c r="F16" s="349"/>
      <c r="G16" s="349"/>
      <c r="H16" s="349"/>
      <c r="I16" s="349"/>
      <c r="J16" s="349"/>
      <c r="K16" s="349"/>
      <c r="L16" s="349"/>
      <c r="M16" s="349"/>
      <c r="N16" s="349"/>
      <c r="O16" s="349"/>
      <c r="P16" s="349"/>
      <c r="Q16" s="349"/>
      <c r="R16" s="349"/>
      <c r="S16" s="349"/>
      <c r="T16" s="349"/>
      <c r="U16" s="352"/>
      <c r="V16" s="1051"/>
      <c r="W16" s="1052"/>
      <c r="X16" s="1052"/>
      <c r="Y16" s="1052"/>
      <c r="Z16" s="1052"/>
      <c r="AA16" s="1052"/>
      <c r="AB16" s="1052"/>
      <c r="AC16" s="1052"/>
      <c r="AD16" s="1052"/>
      <c r="AE16" s="1127"/>
      <c r="AF16" s="1127"/>
      <c r="AG16" s="1127"/>
      <c r="AH16" s="1052"/>
      <c r="AI16" s="1052"/>
      <c r="AJ16" s="1052"/>
      <c r="AK16" s="1110"/>
      <c r="AL16" s="1110"/>
      <c r="AM16" s="1110"/>
      <c r="AN16" s="1128"/>
      <c r="AO16" s="1128"/>
      <c r="AP16" s="1129"/>
    </row>
    <row r="17" spans="2:42" ht="9" customHeight="1">
      <c r="B17" s="350"/>
      <c r="C17" s="349"/>
      <c r="D17" s="349"/>
      <c r="E17" s="349"/>
      <c r="F17" s="349"/>
      <c r="G17" s="349"/>
      <c r="H17" s="349"/>
      <c r="I17" s="349"/>
      <c r="J17" s="349"/>
      <c r="K17" s="349"/>
      <c r="L17" s="349"/>
      <c r="M17" s="349"/>
      <c r="N17" s="349"/>
      <c r="O17" s="349"/>
      <c r="P17" s="349"/>
      <c r="Q17" s="349"/>
      <c r="R17" s="349"/>
      <c r="S17" s="349"/>
      <c r="T17" s="349"/>
      <c r="U17" s="352"/>
      <c r="V17" s="1051"/>
      <c r="W17" s="1052"/>
      <c r="X17" s="1052"/>
      <c r="Y17" s="1052"/>
      <c r="Z17" s="1052"/>
      <c r="AA17" s="1052"/>
      <c r="AB17" s="1052"/>
      <c r="AC17" s="1052"/>
      <c r="AD17" s="1052"/>
      <c r="AE17" s="1127"/>
      <c r="AF17" s="1127"/>
      <c r="AG17" s="1127"/>
      <c r="AH17" s="1052"/>
      <c r="AI17" s="1052"/>
      <c r="AJ17" s="1052"/>
      <c r="AK17" s="1110"/>
      <c r="AL17" s="1110"/>
      <c r="AM17" s="1110"/>
      <c r="AN17" s="1128"/>
      <c r="AO17" s="1128"/>
      <c r="AP17" s="1129"/>
    </row>
    <row r="18" spans="2:42" ht="9" customHeight="1">
      <c r="B18" s="350"/>
      <c r="C18" s="349"/>
      <c r="D18" s="349"/>
      <c r="E18" s="349"/>
      <c r="F18" s="349"/>
      <c r="G18" s="349"/>
      <c r="H18" s="349"/>
      <c r="I18" s="349"/>
      <c r="J18" s="349"/>
      <c r="K18" s="349"/>
      <c r="L18" s="349"/>
      <c r="M18" s="349"/>
      <c r="N18" s="349"/>
      <c r="O18" s="349"/>
      <c r="P18" s="349"/>
      <c r="Q18" s="349"/>
      <c r="R18" s="349"/>
      <c r="S18" s="349"/>
      <c r="T18" s="349"/>
      <c r="U18" s="352"/>
      <c r="V18" s="1049" t="str">
        <f>IF(V15&lt;&gt;" ",VLOOKUP(V15,$F$40:$H$70,2)," ")</f>
        <v>Ntra.Sra. Nieves</v>
      </c>
      <c r="W18" s="1050"/>
      <c r="X18" s="1050"/>
      <c r="Y18" s="1050" t="str">
        <f>IF(Y15&lt;&gt;" ",VLOOKUP(Y15,$F$40:$H$70,2)," ")</f>
        <v>Transfiguración</v>
      </c>
      <c r="Z18" s="1050"/>
      <c r="AA18" s="1050"/>
      <c r="AB18" s="1050" t="str">
        <f>IF(AB15&lt;&gt;" ",VLOOKUP(AB15,$F$40:$H$70,2)," ")</f>
        <v>Sixto II</v>
      </c>
      <c r="AC18" s="1050"/>
      <c r="AD18" s="1050"/>
      <c r="AE18" s="1050" t="str">
        <f>IF(AE15&lt;&gt;" ",VLOOKUP(AE15,$F$40:$H$70,2)," ")</f>
        <v>Domingo Guzmán</v>
      </c>
      <c r="AF18" s="1050"/>
      <c r="AG18" s="1050"/>
      <c r="AH18" s="1050" t="str">
        <f>IF(AH15&lt;&gt;" ",VLOOKUP(AH15,$F$40:$H$70,2)," ")</f>
        <v>Román</v>
      </c>
      <c r="AI18" s="1050"/>
      <c r="AJ18" s="1050"/>
      <c r="AK18" s="1050" t="str">
        <f>IF(AK15&lt;&gt;" ",VLOOKUP(AK15,$F$40:$H$70,2)," ")</f>
        <v>Lorenzo</v>
      </c>
      <c r="AL18" s="1050"/>
      <c r="AM18" s="1050"/>
      <c r="AN18" s="1050" t="str">
        <f>IF(AN15&lt;&gt;" ",VLOOKUP(AN15,$F$40:$H$70,2)," ")</f>
        <v>Clara</v>
      </c>
      <c r="AO18" s="1050"/>
      <c r="AP18" s="1066"/>
    </row>
    <row r="19" spans="2:42" ht="9" customHeight="1">
      <c r="B19" s="350"/>
      <c r="C19" s="349"/>
      <c r="D19" s="349"/>
      <c r="E19" s="349"/>
      <c r="F19" s="349"/>
      <c r="G19" s="349"/>
      <c r="H19" s="349"/>
      <c r="I19" s="349"/>
      <c r="J19" s="349"/>
      <c r="K19" s="349"/>
      <c r="L19" s="349"/>
      <c r="M19" s="349"/>
      <c r="N19" s="349"/>
      <c r="O19" s="349"/>
      <c r="P19" s="349"/>
      <c r="Q19" s="349"/>
      <c r="R19" s="349"/>
      <c r="S19" s="349"/>
      <c r="T19" s="349"/>
      <c r="U19" s="352"/>
      <c r="V19" s="1051">
        <f>año!AA17</f>
        <v>12</v>
      </c>
      <c r="W19" s="1052"/>
      <c r="X19" s="1052"/>
      <c r="Y19" s="1052">
        <f>año!AB17</f>
        <v>13</v>
      </c>
      <c r="Z19" s="1052"/>
      <c r="AA19" s="1052"/>
      <c r="AB19" s="1052">
        <f>año!AC17</f>
        <v>14</v>
      </c>
      <c r="AC19" s="1052"/>
      <c r="AD19" s="1052"/>
      <c r="AE19" s="1052">
        <f>año!AD17</f>
        <v>15</v>
      </c>
      <c r="AF19" s="1052"/>
      <c r="AG19" s="1052"/>
      <c r="AH19" s="1052">
        <f>año!AE17</f>
        <v>16</v>
      </c>
      <c r="AI19" s="1052"/>
      <c r="AJ19" s="1052"/>
      <c r="AK19" s="1052">
        <f>año!AF17</f>
        <v>17</v>
      </c>
      <c r="AL19" s="1052"/>
      <c r="AM19" s="1052"/>
      <c r="AN19" s="1064">
        <f>año!AG17</f>
        <v>18</v>
      </c>
      <c r="AO19" s="1064"/>
      <c r="AP19" s="1065"/>
    </row>
    <row r="20" spans="2:42" ht="9" customHeight="1">
      <c r="B20" s="350"/>
      <c r="C20" s="349"/>
      <c r="D20" s="349"/>
      <c r="E20" s="349"/>
      <c r="F20" s="349"/>
      <c r="G20" s="349"/>
      <c r="H20" s="349"/>
      <c r="I20" s="349"/>
      <c r="J20" s="349"/>
      <c r="K20" s="349"/>
      <c r="L20" s="349"/>
      <c r="M20" s="349"/>
      <c r="N20" s="349"/>
      <c r="O20" s="349"/>
      <c r="P20" s="349"/>
      <c r="Q20" s="349"/>
      <c r="R20" s="349"/>
      <c r="S20" s="349"/>
      <c r="T20" s="349"/>
      <c r="U20" s="352"/>
      <c r="V20" s="1051"/>
      <c r="W20" s="1052"/>
      <c r="X20" s="1052"/>
      <c r="Y20" s="1052"/>
      <c r="Z20" s="1052"/>
      <c r="AA20" s="1052"/>
      <c r="AB20" s="1052"/>
      <c r="AC20" s="1052"/>
      <c r="AD20" s="1052"/>
      <c r="AE20" s="1052"/>
      <c r="AF20" s="1052"/>
      <c r="AG20" s="1052"/>
      <c r="AH20" s="1052"/>
      <c r="AI20" s="1052"/>
      <c r="AJ20" s="1052"/>
      <c r="AK20" s="1052"/>
      <c r="AL20" s="1052"/>
      <c r="AM20" s="1052"/>
      <c r="AN20" s="1064"/>
      <c r="AO20" s="1064"/>
      <c r="AP20" s="1065"/>
    </row>
    <row r="21" spans="2:42" ht="9" customHeight="1">
      <c r="B21" s="350"/>
      <c r="C21" s="349"/>
      <c r="D21" s="349"/>
      <c r="E21" s="349"/>
      <c r="F21" s="349"/>
      <c r="G21" s="349"/>
      <c r="H21" s="349"/>
      <c r="I21" s="349"/>
      <c r="J21" s="349"/>
      <c r="K21" s="349"/>
      <c r="L21" s="349"/>
      <c r="M21" s="349"/>
      <c r="N21" s="349"/>
      <c r="O21" s="349"/>
      <c r="P21" s="349"/>
      <c r="Q21" s="349"/>
      <c r="R21" s="349"/>
      <c r="S21" s="349"/>
      <c r="T21" s="349"/>
      <c r="U21" s="352"/>
      <c r="V21" s="1051"/>
      <c r="W21" s="1052"/>
      <c r="X21" s="1052"/>
      <c r="Y21" s="1052"/>
      <c r="Z21" s="1052"/>
      <c r="AA21" s="1052"/>
      <c r="AB21" s="1052"/>
      <c r="AC21" s="1052"/>
      <c r="AD21" s="1052"/>
      <c r="AE21" s="1052"/>
      <c r="AF21" s="1052"/>
      <c r="AG21" s="1052"/>
      <c r="AH21" s="1052"/>
      <c r="AI21" s="1052"/>
      <c r="AJ21" s="1052"/>
      <c r="AK21" s="1052"/>
      <c r="AL21" s="1052"/>
      <c r="AM21" s="1052"/>
      <c r="AN21" s="1064"/>
      <c r="AO21" s="1064"/>
      <c r="AP21" s="1065"/>
    </row>
    <row r="22" spans="2:42" ht="9" customHeight="1">
      <c r="B22" s="350"/>
      <c r="C22" s="349"/>
      <c r="D22" s="349"/>
      <c r="E22" s="349"/>
      <c r="F22" s="349"/>
      <c r="G22" s="349"/>
      <c r="H22" s="349"/>
      <c r="I22" s="349"/>
      <c r="J22" s="349"/>
      <c r="K22" s="349"/>
      <c r="L22" s="349"/>
      <c r="M22" s="349"/>
      <c r="N22" s="349"/>
      <c r="O22" s="349"/>
      <c r="P22" s="349"/>
      <c r="Q22" s="349"/>
      <c r="R22" s="349"/>
      <c r="S22" s="349"/>
      <c r="T22" s="349"/>
      <c r="U22" s="352"/>
      <c r="V22" s="1049" t="str">
        <f>IF(V19&lt;&gt;" ",VLOOKUP(V19,$F$40:$H$70,2)," ")</f>
        <v>Juana Chantal</v>
      </c>
      <c r="W22" s="1050"/>
      <c r="X22" s="1050"/>
      <c r="Y22" s="1050" t="str">
        <f>IF(Y19&lt;&gt;" ",VLOOKUP(Y19,$F$40:$H$70,2)," ")</f>
        <v>Hipólito</v>
      </c>
      <c r="Z22" s="1050"/>
      <c r="AA22" s="1050"/>
      <c r="AB22" s="1050" t="str">
        <f>IF(AB19&lt;&gt;" ",VLOOKUP(AB19,$F$40:$H$70,2)," ")</f>
        <v>Maximiliano</v>
      </c>
      <c r="AC22" s="1050"/>
      <c r="AD22" s="1050"/>
      <c r="AE22" s="1050" t="str">
        <f>IF(AE19&lt;&gt;" ",VLOOKUP(AE19,$F$40:$H$70,2)," ")</f>
        <v>Virgen Asunción</v>
      </c>
      <c r="AF22" s="1050"/>
      <c r="AG22" s="1050"/>
      <c r="AH22" s="1050" t="str">
        <f>IF(AH19&lt;&gt;" ",VLOOKUP(AH19,$F$40:$H$70,2)," ")</f>
        <v>Roque</v>
      </c>
      <c r="AI22" s="1050"/>
      <c r="AJ22" s="1050"/>
      <c r="AK22" s="1050" t="str">
        <f>IF(AK19&lt;&gt;" ",VLOOKUP(AK19,$F$40:$H$70,2)," ")</f>
        <v>Cristóbal</v>
      </c>
      <c r="AL22" s="1050"/>
      <c r="AM22" s="1050"/>
      <c r="AN22" s="1050" t="str">
        <f>IF(AN19&lt;&gt;" ",VLOOKUP(AN19,$F$40:$H$70,2)," ")</f>
        <v>Elena</v>
      </c>
      <c r="AO22" s="1050"/>
      <c r="AP22" s="1066"/>
    </row>
    <row r="23" spans="2:42" ht="9" customHeight="1">
      <c r="B23" s="350"/>
      <c r="C23" s="349"/>
      <c r="D23" s="349"/>
      <c r="E23" s="349"/>
      <c r="F23" s="349"/>
      <c r="G23" s="349"/>
      <c r="H23" s="349"/>
      <c r="I23" s="349"/>
      <c r="J23" s="349"/>
      <c r="K23" s="349"/>
      <c r="L23" s="349"/>
      <c r="M23" s="349"/>
      <c r="N23" s="349"/>
      <c r="O23" s="349"/>
      <c r="P23" s="349"/>
      <c r="Q23" s="349"/>
      <c r="R23" s="349"/>
      <c r="S23" s="349"/>
      <c r="T23" s="349"/>
      <c r="U23" s="352"/>
      <c r="V23" s="1051">
        <f>año!AA18</f>
        <v>19</v>
      </c>
      <c r="W23" s="1052"/>
      <c r="X23" s="1052"/>
      <c r="Y23" s="1052">
        <f>año!AB18</f>
        <v>20</v>
      </c>
      <c r="Z23" s="1052"/>
      <c r="AA23" s="1052"/>
      <c r="AB23" s="1052">
        <f>año!AC18</f>
        <v>21</v>
      </c>
      <c r="AC23" s="1052"/>
      <c r="AD23" s="1052"/>
      <c r="AE23" s="1052">
        <f>año!AD18</f>
        <v>22</v>
      </c>
      <c r="AF23" s="1052"/>
      <c r="AG23" s="1052"/>
      <c r="AH23" s="1052">
        <f>año!AE18</f>
        <v>23</v>
      </c>
      <c r="AI23" s="1052"/>
      <c r="AJ23" s="1052"/>
      <c r="AK23" s="1052">
        <f>año!AF18</f>
        <v>24</v>
      </c>
      <c r="AL23" s="1052"/>
      <c r="AM23" s="1052"/>
      <c r="AN23" s="1064">
        <f>año!AG18</f>
        <v>25</v>
      </c>
      <c r="AO23" s="1064"/>
      <c r="AP23" s="1065"/>
    </row>
    <row r="24" spans="2:42" ht="9" customHeight="1">
      <c r="B24" s="350"/>
      <c r="C24" s="349"/>
      <c r="D24" s="349"/>
      <c r="E24" s="349"/>
      <c r="F24" s="349"/>
      <c r="G24" s="349"/>
      <c r="H24" s="349"/>
      <c r="I24" s="349"/>
      <c r="J24" s="349"/>
      <c r="K24" s="349"/>
      <c r="L24" s="349"/>
      <c r="M24" s="349"/>
      <c r="N24" s="349"/>
      <c r="O24" s="349"/>
      <c r="P24" s="349"/>
      <c r="Q24" s="349"/>
      <c r="R24" s="349"/>
      <c r="S24" s="349"/>
      <c r="T24" s="349"/>
      <c r="U24" s="352"/>
      <c r="V24" s="1051"/>
      <c r="W24" s="1052"/>
      <c r="X24" s="1052"/>
      <c r="Y24" s="1052"/>
      <c r="Z24" s="1052"/>
      <c r="AA24" s="1052"/>
      <c r="AB24" s="1052"/>
      <c r="AC24" s="1052"/>
      <c r="AD24" s="1052"/>
      <c r="AE24" s="1052"/>
      <c r="AF24" s="1052"/>
      <c r="AG24" s="1052"/>
      <c r="AH24" s="1052"/>
      <c r="AI24" s="1052"/>
      <c r="AJ24" s="1052"/>
      <c r="AK24" s="1052"/>
      <c r="AL24" s="1052"/>
      <c r="AM24" s="1052"/>
      <c r="AN24" s="1064"/>
      <c r="AO24" s="1064"/>
      <c r="AP24" s="1065"/>
    </row>
    <row r="25" spans="2:42" ht="9" customHeight="1">
      <c r="B25" s="350"/>
      <c r="C25" s="349"/>
      <c r="D25" s="349"/>
      <c r="E25" s="349"/>
      <c r="F25" s="349"/>
      <c r="G25" s="349"/>
      <c r="H25" s="349"/>
      <c r="I25" s="349"/>
      <c r="J25" s="349"/>
      <c r="K25" s="349"/>
      <c r="L25" s="349"/>
      <c r="M25" s="349"/>
      <c r="N25" s="349"/>
      <c r="O25" s="349"/>
      <c r="P25" s="349"/>
      <c r="Q25" s="349"/>
      <c r="R25" s="349"/>
      <c r="S25" s="349"/>
      <c r="T25" s="349"/>
      <c r="U25" s="352"/>
      <c r="V25" s="1051"/>
      <c r="W25" s="1052"/>
      <c r="X25" s="1052"/>
      <c r="Y25" s="1052"/>
      <c r="Z25" s="1052"/>
      <c r="AA25" s="1052"/>
      <c r="AB25" s="1052"/>
      <c r="AC25" s="1052"/>
      <c r="AD25" s="1052"/>
      <c r="AE25" s="1052"/>
      <c r="AF25" s="1052"/>
      <c r="AG25" s="1052"/>
      <c r="AH25" s="1052"/>
      <c r="AI25" s="1052"/>
      <c r="AJ25" s="1052"/>
      <c r="AK25" s="1052"/>
      <c r="AL25" s="1052"/>
      <c r="AM25" s="1052"/>
      <c r="AN25" s="1064"/>
      <c r="AO25" s="1064"/>
      <c r="AP25" s="1065"/>
    </row>
    <row r="26" spans="2:42" ht="9" customHeight="1">
      <c r="B26" s="350"/>
      <c r="C26" s="349"/>
      <c r="D26" s="349"/>
      <c r="E26" s="349"/>
      <c r="F26" s="349"/>
      <c r="G26" s="349"/>
      <c r="H26" s="349"/>
      <c r="I26" s="349"/>
      <c r="J26" s="349"/>
      <c r="K26" s="349"/>
      <c r="L26" s="349"/>
      <c r="M26" s="349"/>
      <c r="N26" s="349"/>
      <c r="O26" s="349"/>
      <c r="P26" s="349"/>
      <c r="Q26" s="349"/>
      <c r="R26" s="349"/>
      <c r="S26" s="349"/>
      <c r="T26" s="349"/>
      <c r="U26" s="352"/>
      <c r="V26" s="1049" t="str">
        <f>IF(V23&lt;&gt;" ",VLOOKUP(V23,$F$40:$H$70,2)," ")</f>
        <v>Juan Eudes</v>
      </c>
      <c r="W26" s="1050"/>
      <c r="X26" s="1050"/>
      <c r="Y26" s="1050" t="str">
        <f>IF(Y23&lt;&gt;" ",VLOOKUP(Y23,$F$40:$H$70,2)," ")</f>
        <v>Bernardo</v>
      </c>
      <c r="Z26" s="1050"/>
      <c r="AA26" s="1050"/>
      <c r="AB26" s="1050" t="str">
        <f>IF(AB23&lt;&gt;" ",VLOOKUP(AB23,$F$40:$H$70,2)," ")</f>
        <v>Pío X</v>
      </c>
      <c r="AC26" s="1050"/>
      <c r="AD26" s="1050"/>
      <c r="AE26" s="1050" t="str">
        <f>IF(AE23&lt;&gt;" ",VLOOKUP(AE23,$F$40:$H$70,2)," ")</f>
        <v>Hipólito</v>
      </c>
      <c r="AF26" s="1050"/>
      <c r="AG26" s="1050"/>
      <c r="AH26" s="1050" t="str">
        <f>IF(AH23&lt;&gt;" ",VLOOKUP(AH23,$F$40:$H$70,2)," ")</f>
        <v>Rosa de Lima</v>
      </c>
      <c r="AI26" s="1050"/>
      <c r="AJ26" s="1050"/>
      <c r="AK26" s="1050" t="str">
        <f>IF(AK23&lt;&gt;" ",VLOOKUP(AK23,$F$40:$H$70,2)," ")</f>
        <v>Bartolomé</v>
      </c>
      <c r="AL26" s="1050"/>
      <c r="AM26" s="1050"/>
      <c r="AN26" s="1050" t="str">
        <f>IF(AN23&lt;&gt;" ",VLOOKUP(AN23,$F$40:$H$70,2)," ")</f>
        <v>José Calasanz</v>
      </c>
      <c r="AO26" s="1050"/>
      <c r="AP26" s="1066"/>
    </row>
    <row r="27" spans="2:42" ht="9" customHeight="1">
      <c r="B27" s="350"/>
      <c r="C27" s="349"/>
      <c r="D27" s="349"/>
      <c r="E27" s="349"/>
      <c r="F27" s="349"/>
      <c r="G27" s="349"/>
      <c r="H27" s="349"/>
      <c r="I27" s="349"/>
      <c r="J27" s="349"/>
      <c r="K27" s="349"/>
      <c r="L27" s="349"/>
      <c r="M27" s="349"/>
      <c r="N27" s="349"/>
      <c r="O27" s="349"/>
      <c r="P27" s="349"/>
      <c r="Q27" s="349"/>
      <c r="R27" s="349"/>
      <c r="S27" s="349"/>
      <c r="T27" s="349"/>
      <c r="U27" s="352"/>
      <c r="V27" s="1051">
        <f>año!AA19</f>
        <v>26</v>
      </c>
      <c r="W27" s="1052"/>
      <c r="X27" s="1052"/>
      <c r="Y27" s="1052">
        <f>año!AB19</f>
        <v>27</v>
      </c>
      <c r="Z27" s="1052"/>
      <c r="AA27" s="1052"/>
      <c r="AB27" s="1052">
        <f>año!AC19</f>
        <v>28</v>
      </c>
      <c r="AC27" s="1052"/>
      <c r="AD27" s="1052"/>
      <c r="AE27" s="1052">
        <f>año!AD19</f>
        <v>29</v>
      </c>
      <c r="AF27" s="1052"/>
      <c r="AG27" s="1052"/>
      <c r="AH27" s="1052">
        <f>año!AE19</f>
        <v>30</v>
      </c>
      <c r="AI27" s="1052"/>
      <c r="AJ27" s="1052"/>
      <c r="AK27" s="1052">
        <f>año!AF19</f>
        <v>31</v>
      </c>
      <c r="AL27" s="1052"/>
      <c r="AM27" s="1052"/>
      <c r="AN27" s="1064" t="str">
        <f>año!AG19</f>
        <v xml:space="preserve"> </v>
      </c>
      <c r="AO27" s="1064"/>
      <c r="AP27" s="1065"/>
    </row>
    <row r="28" spans="2:42" ht="9" customHeight="1">
      <c r="B28" s="350"/>
      <c r="C28" s="349"/>
      <c r="D28" s="349"/>
      <c r="E28" s="349"/>
      <c r="F28" s="349"/>
      <c r="G28" s="349"/>
      <c r="H28" s="349"/>
      <c r="I28" s="349"/>
      <c r="J28" s="349"/>
      <c r="K28" s="349"/>
      <c r="L28" s="349"/>
      <c r="M28" s="349"/>
      <c r="N28" s="349"/>
      <c r="O28" s="349"/>
      <c r="P28" s="349"/>
      <c r="Q28" s="349"/>
      <c r="R28" s="349"/>
      <c r="S28" s="349"/>
      <c r="T28" s="349"/>
      <c r="U28" s="352"/>
      <c r="V28" s="1051"/>
      <c r="W28" s="1052"/>
      <c r="X28" s="1052"/>
      <c r="Y28" s="1052"/>
      <c r="Z28" s="1052"/>
      <c r="AA28" s="1052"/>
      <c r="AB28" s="1052"/>
      <c r="AC28" s="1052"/>
      <c r="AD28" s="1052"/>
      <c r="AE28" s="1052"/>
      <c r="AF28" s="1052"/>
      <c r="AG28" s="1052"/>
      <c r="AH28" s="1052"/>
      <c r="AI28" s="1052"/>
      <c r="AJ28" s="1052"/>
      <c r="AK28" s="1052"/>
      <c r="AL28" s="1052"/>
      <c r="AM28" s="1052"/>
      <c r="AN28" s="1064"/>
      <c r="AO28" s="1064"/>
      <c r="AP28" s="1065"/>
    </row>
    <row r="29" spans="2:42" ht="9" customHeight="1">
      <c r="B29" s="350"/>
      <c r="C29" s="349"/>
      <c r="D29" s="349"/>
      <c r="E29" s="349"/>
      <c r="F29" s="349"/>
      <c r="G29" s="349"/>
      <c r="H29" s="349"/>
      <c r="I29" s="349"/>
      <c r="J29" s="349"/>
      <c r="K29" s="349"/>
      <c r="L29" s="349"/>
      <c r="M29" s="349"/>
      <c r="N29" s="349"/>
      <c r="O29" s="349"/>
      <c r="P29" s="349"/>
      <c r="Q29" s="349"/>
      <c r="R29" s="349"/>
      <c r="S29" s="349"/>
      <c r="T29" s="349"/>
      <c r="U29" s="352"/>
      <c r="V29" s="1051"/>
      <c r="W29" s="1052"/>
      <c r="X29" s="1052"/>
      <c r="Y29" s="1052"/>
      <c r="Z29" s="1052"/>
      <c r="AA29" s="1052"/>
      <c r="AB29" s="1052"/>
      <c r="AC29" s="1052"/>
      <c r="AD29" s="1052"/>
      <c r="AE29" s="1052"/>
      <c r="AF29" s="1052"/>
      <c r="AG29" s="1052"/>
      <c r="AH29" s="1052"/>
      <c r="AI29" s="1052"/>
      <c r="AJ29" s="1052"/>
      <c r="AK29" s="1052"/>
      <c r="AL29" s="1052"/>
      <c r="AM29" s="1052"/>
      <c r="AN29" s="1064"/>
      <c r="AO29" s="1064"/>
      <c r="AP29" s="1065"/>
    </row>
    <row r="30" spans="2:42" ht="9" customHeight="1">
      <c r="B30" s="1100" t="s">
        <v>999</v>
      </c>
      <c r="C30" s="1101"/>
      <c r="D30" s="1101"/>
      <c r="E30" s="1101"/>
      <c r="F30" s="1101"/>
      <c r="G30" s="1101"/>
      <c r="H30" s="1101"/>
      <c r="I30" s="1101"/>
      <c r="J30" s="1101"/>
      <c r="K30" s="1101"/>
      <c r="L30" s="1101"/>
      <c r="M30" s="1101"/>
      <c r="N30" s="1101"/>
      <c r="O30" s="1101"/>
      <c r="P30" s="1101"/>
      <c r="Q30" s="1101"/>
      <c r="R30" s="1101"/>
      <c r="S30" s="1101"/>
      <c r="T30" s="1101"/>
      <c r="U30" s="1102"/>
      <c r="V30" s="1049" t="str">
        <f>IF(V27&lt;&gt;" ",VLOOKUP(V27,$F$40:$H$70,2)," ")</f>
        <v>Teresa J.Jornet</v>
      </c>
      <c r="W30" s="1050"/>
      <c r="X30" s="1050"/>
      <c r="Y30" s="1050" t="str">
        <f>IF(Y27&lt;&gt;" ",VLOOKUP(Y27,$F$40:$H$70,2)," ")</f>
        <v>Mónica</v>
      </c>
      <c r="Z30" s="1050"/>
      <c r="AA30" s="1050"/>
      <c r="AB30" s="1050" t="str">
        <f>IF(AB27&lt;&gt;" ",VLOOKUP(AB27,$F$40:$H$70,2)," ")</f>
        <v>Agustín</v>
      </c>
      <c r="AC30" s="1050"/>
      <c r="AD30" s="1050"/>
      <c r="AE30" s="1050" t="str">
        <f>IF(AE27&lt;&gt;" ",VLOOKUP(AE27,$F$40:$H$70,2)," ")</f>
        <v>Martirio S.Juan</v>
      </c>
      <c r="AF30" s="1050"/>
      <c r="AG30" s="1050"/>
      <c r="AH30" s="1050" t="str">
        <f>IF(AH27&lt;&gt;" ",VLOOKUP(AH27,$F$40:$H$70,2)," ")</f>
        <v>Ingrid</v>
      </c>
      <c r="AI30" s="1050"/>
      <c r="AJ30" s="1050"/>
      <c r="AK30" s="1050" t="str">
        <f>IF(AK27&lt;&gt;" ",VLOOKUP(AK27,$F$40:$H$70,2)," ")</f>
        <v>Ramón Nonato</v>
      </c>
      <c r="AL30" s="1050"/>
      <c r="AM30" s="1050"/>
      <c r="AN30" s="1050" t="str">
        <f>IF(AN27&lt;&gt;" ",VLOOKUP(AN27,$F$40:$H$70,2)," ")</f>
        <v xml:space="preserve"> </v>
      </c>
      <c r="AO30" s="1050"/>
      <c r="AP30" s="1066"/>
    </row>
    <row r="31" spans="2:42" ht="10.5" customHeight="1">
      <c r="B31" s="1100"/>
      <c r="C31" s="1101"/>
      <c r="D31" s="1101"/>
      <c r="E31" s="1101"/>
      <c r="F31" s="1101"/>
      <c r="G31" s="1101"/>
      <c r="H31" s="1101"/>
      <c r="I31" s="1101"/>
      <c r="J31" s="1101"/>
      <c r="K31" s="1101"/>
      <c r="L31" s="1101"/>
      <c r="M31" s="1101"/>
      <c r="N31" s="1101"/>
      <c r="O31" s="1101"/>
      <c r="P31" s="1101"/>
      <c r="Q31" s="1101"/>
      <c r="R31" s="1101"/>
      <c r="S31" s="1101"/>
      <c r="T31" s="1101"/>
      <c r="U31" s="1102"/>
      <c r="V31" s="1051" t="str">
        <f>año!AA20</f>
        <v xml:space="preserve"> </v>
      </c>
      <c r="W31" s="1052"/>
      <c r="X31" s="1052"/>
      <c r="Y31" s="1052" t="str">
        <f>año!AB20</f>
        <v xml:space="preserve"> </v>
      </c>
      <c r="Z31" s="1052"/>
      <c r="AA31" s="1052"/>
      <c r="AB31" s="1052" t="str">
        <f>año!AC20</f>
        <v xml:space="preserve"> </v>
      </c>
      <c r="AC31" s="1052"/>
      <c r="AD31" s="1052"/>
      <c r="AE31" s="189"/>
      <c r="AF31" s="190"/>
      <c r="AG31" s="192"/>
      <c r="AH31" s="194"/>
      <c r="AI31" s="194"/>
      <c r="AJ31" s="192"/>
      <c r="AK31" s="194"/>
      <c r="AL31" s="194"/>
      <c r="AM31" s="192"/>
      <c r="AN31" s="193"/>
      <c r="AO31" s="194"/>
      <c r="AP31" s="192"/>
    </row>
    <row r="32" spans="2:42" ht="10.5" customHeight="1">
      <c r="B32" s="1100"/>
      <c r="C32" s="782"/>
      <c r="D32" s="782"/>
      <c r="E32" s="782"/>
      <c r="F32" s="782"/>
      <c r="G32" s="782"/>
      <c r="H32" s="782"/>
      <c r="I32" s="782"/>
      <c r="J32" s="782"/>
      <c r="K32" s="782"/>
      <c r="L32" s="782"/>
      <c r="M32" s="782"/>
      <c r="N32" s="782"/>
      <c r="O32" s="782"/>
      <c r="P32" s="782"/>
      <c r="Q32" s="782"/>
      <c r="R32" s="782"/>
      <c r="S32" s="782"/>
      <c r="T32" s="782"/>
      <c r="U32" s="1102"/>
      <c r="V32" s="1051"/>
      <c r="W32" s="1052"/>
      <c r="X32" s="1052"/>
      <c r="Y32" s="1052"/>
      <c r="Z32" s="1052"/>
      <c r="AA32" s="1052"/>
      <c r="AB32" s="1052"/>
      <c r="AC32" s="1052"/>
      <c r="AD32" s="1052"/>
      <c r="AE32" s="189"/>
      <c r="AF32" s="190"/>
      <c r="AG32" s="192" t="s">
        <v>247</v>
      </c>
      <c r="AH32" s="194"/>
      <c r="AI32" s="194"/>
      <c r="AJ32" s="192" t="s">
        <v>247</v>
      </c>
      <c r="AK32" s="194"/>
      <c r="AL32" s="194"/>
      <c r="AM32" s="192" t="s">
        <v>247</v>
      </c>
      <c r="AN32" s="193"/>
      <c r="AO32" s="194"/>
      <c r="AP32" s="192" t="s">
        <v>247</v>
      </c>
    </row>
    <row r="33" spans="2:42" ht="10.5" customHeight="1">
      <c r="B33" s="1103"/>
      <c r="C33" s="1104"/>
      <c r="D33" s="1104"/>
      <c r="E33" s="1104"/>
      <c r="F33" s="1104"/>
      <c r="G33" s="1104"/>
      <c r="H33" s="1104"/>
      <c r="I33" s="1104"/>
      <c r="J33" s="1104"/>
      <c r="K33" s="1104"/>
      <c r="L33" s="1104"/>
      <c r="M33" s="1104"/>
      <c r="N33" s="1104"/>
      <c r="O33" s="1104"/>
      <c r="P33" s="1104"/>
      <c r="Q33" s="1104"/>
      <c r="R33" s="1104"/>
      <c r="S33" s="1104"/>
      <c r="T33" s="1104"/>
      <c r="U33" s="1105"/>
      <c r="V33" s="1051"/>
      <c r="W33" s="1052"/>
      <c r="X33" s="1052"/>
      <c r="Y33" s="1052"/>
      <c r="Z33" s="1052"/>
      <c r="AA33" s="1052"/>
      <c r="AB33" s="1052"/>
      <c r="AC33" s="1052"/>
      <c r="AD33" s="1052"/>
      <c r="AE33" s="189"/>
      <c r="AF33" s="189"/>
      <c r="AG33" s="193">
        <f>luna!$N$70</f>
        <v>20</v>
      </c>
      <c r="AH33" s="194"/>
      <c r="AI33" s="1073">
        <f>luna!$R$70</f>
        <v>27</v>
      </c>
      <c r="AJ33" s="1068"/>
      <c r="AK33" s="194"/>
      <c r="AL33" s="1073">
        <f>luna!$Q$70</f>
        <v>6</v>
      </c>
      <c r="AM33" s="1068"/>
      <c r="AN33" s="193"/>
      <c r="AO33" s="1067">
        <f>luna!$P$70</f>
        <v>13</v>
      </c>
      <c r="AP33" s="1068"/>
    </row>
    <row r="34" spans="2:42" ht="9" customHeight="1">
      <c r="B34" s="179"/>
      <c r="C34" s="180"/>
      <c r="D34" s="180"/>
      <c r="E34" s="180"/>
      <c r="F34" s="180"/>
      <c r="G34" s="180"/>
      <c r="H34" s="180"/>
      <c r="I34" s="180"/>
      <c r="J34" s="180"/>
      <c r="K34" s="180"/>
      <c r="L34" s="180"/>
      <c r="M34" s="180"/>
      <c r="N34" s="180"/>
      <c r="O34" s="180"/>
      <c r="P34" s="180"/>
      <c r="Q34" s="180"/>
      <c r="R34" s="180"/>
      <c r="S34" s="180"/>
      <c r="T34" s="180"/>
      <c r="U34" s="181"/>
      <c r="V34" s="1049" t="str">
        <f>IF(V31&lt;&gt;" ",VLOOKUP(V31,$F$40:$H$70,2)," ")</f>
        <v xml:space="preserve"> </v>
      </c>
      <c r="W34" s="1050"/>
      <c r="X34" s="1050"/>
      <c r="Y34" s="1050" t="str">
        <f>IF(Y31&lt;&gt;" ",VLOOKUP(Y31,$F$40:$H$70,2)," ")</f>
        <v xml:space="preserve"> </v>
      </c>
      <c r="Z34" s="1050"/>
      <c r="AA34" s="1050"/>
      <c r="AB34" s="182"/>
      <c r="AC34" s="182"/>
      <c r="AD34" s="182"/>
      <c r="AE34" s="1078" t="s">
        <v>597</v>
      </c>
      <c r="AF34" s="1079"/>
      <c r="AG34" s="1080"/>
      <c r="AH34" s="1081" t="s">
        <v>598</v>
      </c>
      <c r="AI34" s="1081"/>
      <c r="AJ34" s="1081"/>
      <c r="AK34" s="1081" t="s">
        <v>599</v>
      </c>
      <c r="AL34" s="1081"/>
      <c r="AM34" s="1081"/>
      <c r="AN34" s="1081" t="s">
        <v>600</v>
      </c>
      <c r="AO34" s="1081"/>
      <c r="AP34" s="1081"/>
    </row>
    <row r="35" spans="2:42" ht="13.8" thickBot="1">
      <c r="B35" s="621">
        <v>15</v>
      </c>
      <c r="C35" s="406" t="s">
        <v>400</v>
      </c>
      <c r="D35" s="386"/>
      <c r="E35" s="386"/>
      <c r="F35" s="386"/>
      <c r="G35" s="386"/>
      <c r="H35" s="386"/>
      <c r="I35" s="386"/>
      <c r="J35" s="386"/>
      <c r="K35" s="386"/>
      <c r="L35" s="386"/>
      <c r="M35" s="386"/>
      <c r="N35" s="406" t="s">
        <v>403</v>
      </c>
      <c r="O35" s="386"/>
      <c r="P35" s="386"/>
      <c r="Q35" s="386"/>
      <c r="R35" s="622"/>
      <c r="S35" s="623" t="s">
        <v>404</v>
      </c>
      <c r="T35" s="624">
        <f>AA38</f>
        <v>8</v>
      </c>
      <c r="U35" s="623" t="s">
        <v>405</v>
      </c>
      <c r="V35" s="624">
        <f>AA39</f>
        <v>18</v>
      </c>
      <c r="W35" s="623" t="s">
        <v>406</v>
      </c>
      <c r="X35" s="622"/>
      <c r="Y35" s="622"/>
      <c r="Z35" s="163"/>
      <c r="AA35" s="163"/>
      <c r="AB35" s="163"/>
      <c r="AC35" s="163"/>
      <c r="AD35" s="163"/>
      <c r="AE35" s="163"/>
      <c r="AF35" s="163"/>
      <c r="AG35" s="163"/>
      <c r="AH35" s="163"/>
      <c r="AI35" s="163"/>
      <c r="AJ35" s="163"/>
      <c r="AK35" s="163"/>
      <c r="AL35" s="163"/>
      <c r="AM35" s="163"/>
      <c r="AN35" s="163"/>
      <c r="AO35" s="163"/>
      <c r="AP35" s="164"/>
    </row>
    <row r="36" spans="2:42" ht="16.2" thickBot="1">
      <c r="B36" s="616">
        <v>16</v>
      </c>
      <c r="C36" s="408" t="s">
        <v>401</v>
      </c>
      <c r="D36" s="394"/>
      <c r="E36" s="394"/>
      <c r="F36" s="394"/>
      <c r="G36" s="703"/>
      <c r="H36" s="703"/>
      <c r="I36" s="408" t="s">
        <v>977</v>
      </c>
      <c r="J36" s="394"/>
      <c r="K36" s="394"/>
      <c r="L36" s="394"/>
      <c r="M36" s="394"/>
      <c r="N36" s="625">
        <v>26</v>
      </c>
      <c r="O36" s="394"/>
      <c r="P36" s="394" t="s">
        <v>746</v>
      </c>
      <c r="Q36" s="394"/>
      <c r="R36" s="394"/>
      <c r="S36" s="411">
        <v>9</v>
      </c>
      <c r="T36" s="1124" t="s">
        <v>968</v>
      </c>
      <c r="U36" s="973"/>
      <c r="V36" s="973"/>
      <c r="W36" s="973"/>
      <c r="X36" s="973"/>
      <c r="Y36" s="394"/>
      <c r="Z36" s="165"/>
      <c r="AA36" s="1089" t="s">
        <v>412</v>
      </c>
      <c r="AB36" s="1090"/>
      <c r="AC36" s="1090"/>
      <c r="AD36" s="1090"/>
      <c r="AE36" s="1090"/>
      <c r="AF36" s="1090"/>
      <c r="AG36" s="1091"/>
      <c r="AH36" s="165"/>
      <c r="AI36" s="1092" t="s">
        <v>411</v>
      </c>
      <c r="AJ36" s="1093"/>
      <c r="AK36" s="1093"/>
      <c r="AL36" s="1093"/>
      <c r="AM36" s="1093"/>
      <c r="AN36" s="1093"/>
      <c r="AO36" s="1094"/>
      <c r="AP36" s="166"/>
    </row>
    <row r="37" spans="2:42" ht="14.4" customHeight="1">
      <c r="B37" s="616">
        <v>17</v>
      </c>
      <c r="C37" s="617" t="s">
        <v>402</v>
      </c>
      <c r="D37" s="383"/>
      <c r="E37" s="383"/>
      <c r="F37" s="383"/>
      <c r="G37" s="383"/>
      <c r="H37" s="1125"/>
      <c r="I37" s="1075"/>
      <c r="J37" s="1075"/>
      <c r="K37" s="1075"/>
      <c r="L37" s="383"/>
      <c r="M37" s="383"/>
      <c r="N37" s="383"/>
      <c r="O37" s="383"/>
      <c r="P37" s="383"/>
      <c r="Q37" s="383"/>
      <c r="R37" s="383"/>
      <c r="S37" s="383"/>
      <c r="T37" s="383"/>
      <c r="U37" s="626"/>
      <c r="V37" s="626"/>
      <c r="W37" s="626"/>
      <c r="X37" s="626"/>
      <c r="Y37" s="383"/>
      <c r="Z37" s="168"/>
      <c r="AA37" s="168"/>
      <c r="AB37" s="168"/>
      <c r="AC37" s="168"/>
      <c r="AD37" s="168"/>
      <c r="AE37" s="168"/>
      <c r="AF37" s="168"/>
      <c r="AG37" s="168"/>
      <c r="AH37" s="168"/>
      <c r="AI37" s="168"/>
      <c r="AJ37" s="168"/>
      <c r="AK37" s="168"/>
      <c r="AL37" s="168"/>
      <c r="AM37" s="168"/>
      <c r="AN37" s="168"/>
      <c r="AO37" s="168"/>
      <c r="AP37" s="169"/>
    </row>
    <row r="38" spans="2:42" ht="13.2" hidden="1" customHeight="1">
      <c r="U38" s="32"/>
      <c r="V38" s="32"/>
      <c r="W38" s="31"/>
      <c r="X38" s="31"/>
      <c r="AA38" s="106">
        <f>AI40</f>
        <v>8</v>
      </c>
    </row>
    <row r="39" spans="2:42" ht="13.8" hidden="1" customHeight="1" thickBot="1">
      <c r="U39" s="32"/>
      <c r="V39" s="32"/>
      <c r="W39" s="30" t="str">
        <f>calendario!AA65</f>
        <v>JOVENTUT</v>
      </c>
      <c r="X39" s="30"/>
      <c r="AA39" s="106">
        <f>AI41</f>
        <v>18</v>
      </c>
    </row>
    <row r="40" spans="2:42" ht="14.4" hidden="1">
      <c r="F40" s="175">
        <v>1</v>
      </c>
      <c r="G40" s="175" t="s">
        <v>666</v>
      </c>
      <c r="N40" s="333"/>
      <c r="U40" s="32"/>
      <c r="V40" s="32"/>
      <c r="W40" s="30">
        <f>calendario!AA66</f>
        <v>0</v>
      </c>
      <c r="X40" s="30"/>
      <c r="AE40" t="str">
        <f>JULIO!Z49</f>
        <v>1r dia festes</v>
      </c>
      <c r="AF40">
        <f>JULIO!AA49</f>
        <v>0</v>
      </c>
      <c r="AG40">
        <f>JULIO!AB49</f>
        <v>0</v>
      </c>
      <c r="AH40">
        <f>JULIO!AC49</f>
        <v>0</v>
      </c>
      <c r="AI40">
        <f>JULIO!AD49</f>
        <v>8</v>
      </c>
    </row>
    <row r="41" spans="2:42" ht="14.4" hidden="1">
      <c r="F41" s="175">
        <v>2</v>
      </c>
      <c r="G41" s="175" t="s">
        <v>515</v>
      </c>
      <c r="N41" s="333"/>
      <c r="W41">
        <f>calendario!AA67</f>
        <v>12</v>
      </c>
      <c r="AE41" t="str">
        <f>JULIO!Z50</f>
        <v>Ult.dia festes</v>
      </c>
      <c r="AF41">
        <f>JULIO!AA50</f>
        <v>0</v>
      </c>
      <c r="AG41">
        <f>JULIO!AB50</f>
        <v>0</v>
      </c>
      <c r="AH41">
        <f>JULIO!AC50</f>
        <v>0</v>
      </c>
      <c r="AI41">
        <f>JULIO!AD50</f>
        <v>18</v>
      </c>
    </row>
    <row r="42" spans="2:42" ht="14.4" hidden="1">
      <c r="F42" s="175">
        <v>3</v>
      </c>
      <c r="G42" s="175" t="s">
        <v>516</v>
      </c>
      <c r="N42" s="333"/>
      <c r="W42">
        <f>calendario!AA68</f>
        <v>13</v>
      </c>
    </row>
    <row r="43" spans="2:42" ht="14.4" hidden="1">
      <c r="F43" s="175">
        <v>4</v>
      </c>
      <c r="G43" s="175" t="s">
        <v>667</v>
      </c>
      <c r="N43" s="333"/>
    </row>
    <row r="44" spans="2:42" ht="14.4" hidden="1">
      <c r="F44" s="175">
        <v>5</v>
      </c>
      <c r="G44" s="175" t="s">
        <v>517</v>
      </c>
      <c r="N44" s="333"/>
    </row>
    <row r="45" spans="2:42" ht="14.4" hidden="1">
      <c r="F45" s="175">
        <v>6</v>
      </c>
      <c r="G45" s="175" t="s">
        <v>668</v>
      </c>
      <c r="N45" s="333"/>
    </row>
    <row r="46" spans="2:42" ht="14.4" hidden="1">
      <c r="F46" s="175">
        <v>7</v>
      </c>
      <c r="G46" s="175" t="s">
        <v>669</v>
      </c>
      <c r="N46" s="333"/>
    </row>
    <row r="47" spans="2:42" ht="14.4" hidden="1">
      <c r="F47" s="175">
        <v>8</v>
      </c>
      <c r="G47" s="175" t="s">
        <v>518</v>
      </c>
      <c r="N47" s="333"/>
    </row>
    <row r="48" spans="2:42" ht="14.4" hidden="1">
      <c r="F48" s="175">
        <v>9</v>
      </c>
      <c r="G48" s="175" t="s">
        <v>519</v>
      </c>
      <c r="N48" s="333"/>
    </row>
    <row r="49" spans="6:14" ht="14.4" hidden="1">
      <c r="F49" s="175">
        <v>10</v>
      </c>
      <c r="G49" s="175" t="s">
        <v>520</v>
      </c>
      <c r="N49" s="333"/>
    </row>
    <row r="50" spans="6:14" ht="14.4" hidden="1">
      <c r="F50" s="175">
        <v>11</v>
      </c>
      <c r="G50" s="175" t="s">
        <v>521</v>
      </c>
      <c r="N50" s="333"/>
    </row>
    <row r="51" spans="6:14" ht="14.4" hidden="1">
      <c r="F51" s="175">
        <v>12</v>
      </c>
      <c r="G51" s="175" t="s">
        <v>670</v>
      </c>
      <c r="N51" s="333"/>
    </row>
    <row r="52" spans="6:14" ht="14.4" hidden="1">
      <c r="F52" s="175">
        <v>13</v>
      </c>
      <c r="G52" s="175" t="s">
        <v>522</v>
      </c>
      <c r="N52" s="333"/>
    </row>
    <row r="53" spans="6:14" ht="14.4" hidden="1">
      <c r="F53" s="175">
        <v>14</v>
      </c>
      <c r="G53" s="175" t="s">
        <v>445</v>
      </c>
      <c r="N53" s="333"/>
    </row>
    <row r="54" spans="6:14" ht="14.4" hidden="1">
      <c r="F54" s="175">
        <v>15</v>
      </c>
      <c r="G54" s="175" t="s">
        <v>523</v>
      </c>
      <c r="N54" s="333"/>
    </row>
    <row r="55" spans="6:14" ht="14.4" hidden="1">
      <c r="F55" s="175">
        <v>16</v>
      </c>
      <c r="G55" s="175" t="s">
        <v>524</v>
      </c>
      <c r="N55" s="333"/>
    </row>
    <row r="56" spans="6:14" ht="14.4" hidden="1">
      <c r="F56" s="175">
        <v>17</v>
      </c>
      <c r="G56" s="175" t="s">
        <v>505</v>
      </c>
      <c r="N56" s="333"/>
    </row>
    <row r="57" spans="6:14" ht="14.4" hidden="1">
      <c r="F57" s="175">
        <v>18</v>
      </c>
      <c r="G57" s="175" t="s">
        <v>525</v>
      </c>
      <c r="N57" s="333"/>
    </row>
    <row r="58" spans="6:14" ht="14.4" hidden="1">
      <c r="F58" s="175">
        <v>19</v>
      </c>
      <c r="G58" s="175" t="s">
        <v>671</v>
      </c>
      <c r="N58" s="333"/>
    </row>
    <row r="59" spans="6:14" ht="14.4" hidden="1">
      <c r="F59" s="175">
        <v>20</v>
      </c>
      <c r="G59" s="175" t="s">
        <v>672</v>
      </c>
      <c r="N59" s="333"/>
    </row>
    <row r="60" spans="6:14" ht="14.4" hidden="1">
      <c r="F60" s="175">
        <v>21</v>
      </c>
      <c r="G60" s="175" t="s">
        <v>673</v>
      </c>
      <c r="N60" s="333"/>
    </row>
    <row r="61" spans="6:14" ht="14.4" hidden="1">
      <c r="F61" s="175">
        <v>22</v>
      </c>
      <c r="G61" s="175" t="s">
        <v>522</v>
      </c>
      <c r="N61" s="333"/>
    </row>
    <row r="62" spans="6:14" ht="14.4" hidden="1">
      <c r="F62" s="175">
        <v>23</v>
      </c>
      <c r="G62" s="175" t="s">
        <v>528</v>
      </c>
      <c r="N62" s="333"/>
    </row>
    <row r="63" spans="6:14" ht="14.4" hidden="1">
      <c r="F63" s="175">
        <v>24</v>
      </c>
      <c r="G63" s="175" t="s">
        <v>529</v>
      </c>
      <c r="N63" s="333"/>
    </row>
    <row r="64" spans="6:14" ht="14.4" hidden="1">
      <c r="F64" s="175">
        <v>25</v>
      </c>
      <c r="G64" s="175" t="s">
        <v>674</v>
      </c>
      <c r="N64" s="333"/>
    </row>
    <row r="65" spans="6:14" ht="14.4" hidden="1">
      <c r="F65" s="175">
        <v>26</v>
      </c>
      <c r="G65" s="175" t="s">
        <v>675</v>
      </c>
      <c r="N65" s="333"/>
    </row>
    <row r="66" spans="6:14" ht="14.4" hidden="1">
      <c r="F66" s="175">
        <v>27</v>
      </c>
      <c r="G66" s="175" t="s">
        <v>530</v>
      </c>
      <c r="N66" s="333"/>
    </row>
    <row r="67" spans="6:14" ht="14.4" hidden="1">
      <c r="F67" s="175">
        <v>28</v>
      </c>
      <c r="G67" s="175" t="s">
        <v>531</v>
      </c>
      <c r="N67" s="333"/>
    </row>
    <row r="68" spans="6:14" ht="14.4" hidden="1">
      <c r="F68" s="175">
        <v>29</v>
      </c>
      <c r="G68" s="175" t="s">
        <v>676</v>
      </c>
      <c r="N68" s="333"/>
    </row>
    <row r="69" spans="6:14" ht="14.4" hidden="1">
      <c r="F69" s="175">
        <v>30</v>
      </c>
      <c r="G69" s="175" t="s">
        <v>532</v>
      </c>
      <c r="N69" s="333"/>
    </row>
    <row r="70" spans="6:14" ht="14.4" hidden="1">
      <c r="F70" s="175">
        <v>31</v>
      </c>
      <c r="G70" s="175" t="s">
        <v>533</v>
      </c>
      <c r="N70" s="333"/>
    </row>
    <row r="71" spans="6:14" hidden="1"/>
  </sheetData>
  <customSheetViews>
    <customSheetView guid="{93FD35E9-1E2C-4BB9-BB5F-2E73C17EC4AF}" scale="115" showGridLines="0" showRowCol="0" outlineSymbols="0" zeroValues="0" hiddenRows="1">
      <selection activeCell="V1" sqref="V1:Z1"/>
      <pageMargins left="0.75" right="0.75" top="1" bottom="1" header="0" footer="0"/>
      <headerFooter alignWithMargins="0"/>
    </customSheetView>
  </customSheetViews>
  <mergeCells count="101">
    <mergeCell ref="AN14:AP14"/>
    <mergeCell ref="AE23:AG25"/>
    <mergeCell ref="AK18:AM18"/>
    <mergeCell ref="AN18:AP18"/>
    <mergeCell ref="AN19:AP21"/>
    <mergeCell ref="AK19:AM21"/>
    <mergeCell ref="AN22:AP22"/>
    <mergeCell ref="AH22:AJ22"/>
    <mergeCell ref="AE22:AG22"/>
    <mergeCell ref="AH23:AJ25"/>
    <mergeCell ref="AH19:AJ21"/>
    <mergeCell ref="AH18:AJ18"/>
    <mergeCell ref="AK23:AM25"/>
    <mergeCell ref="AK22:AM22"/>
    <mergeCell ref="V19:X21"/>
    <mergeCell ref="Y19:AA21"/>
    <mergeCell ref="AB19:AD21"/>
    <mergeCell ref="AE19:AG21"/>
    <mergeCell ref="AN23:AP25"/>
    <mergeCell ref="AB22:AD22"/>
    <mergeCell ref="AB23:AD25"/>
    <mergeCell ref="AN15:AP17"/>
    <mergeCell ref="Y22:AA22"/>
    <mergeCell ref="V22:X22"/>
    <mergeCell ref="V14:X14"/>
    <mergeCell ref="Y14:AA14"/>
    <mergeCell ref="AH14:AJ14"/>
    <mergeCell ref="AK14:AM14"/>
    <mergeCell ref="V15:X17"/>
    <mergeCell ref="Y15:AA17"/>
    <mergeCell ref="AB15:AD17"/>
    <mergeCell ref="AE15:AG17"/>
    <mergeCell ref="V18:X18"/>
    <mergeCell ref="Y18:AA18"/>
    <mergeCell ref="AB18:AD18"/>
    <mergeCell ref="AE18:AG18"/>
    <mergeCell ref="AB14:AD14"/>
    <mergeCell ref="AE14:AG14"/>
    <mergeCell ref="AH15:AJ17"/>
    <mergeCell ref="AK15:AM17"/>
    <mergeCell ref="AK26:AM26"/>
    <mergeCell ref="V34:X34"/>
    <mergeCell ref="AI33:AJ33"/>
    <mergeCell ref="Y34:AA34"/>
    <mergeCell ref="AE34:AG34"/>
    <mergeCell ref="AE27:AG29"/>
    <mergeCell ref="AN26:AP26"/>
    <mergeCell ref="AH26:AJ26"/>
    <mergeCell ref="V27:X29"/>
    <mergeCell ref="Y27:AA29"/>
    <mergeCell ref="AB27:AD29"/>
    <mergeCell ref="AH27:AJ29"/>
    <mergeCell ref="AK27:AM29"/>
    <mergeCell ref="H37:K37"/>
    <mergeCell ref="B1:U3"/>
    <mergeCell ref="AL33:AM33"/>
    <mergeCell ref="AO33:AP33"/>
    <mergeCell ref="V1:Z1"/>
    <mergeCell ref="AA1:AB1"/>
    <mergeCell ref="AJ1:AN1"/>
    <mergeCell ref="V11:X13"/>
    <mergeCell ref="Y11:AA13"/>
    <mergeCell ref="AB11:AD13"/>
    <mergeCell ref="AK11:AM13"/>
    <mergeCell ref="AO1:AP1"/>
    <mergeCell ref="AD2:AH4"/>
    <mergeCell ref="AD5:AH7"/>
    <mergeCell ref="AH10:AJ10"/>
    <mergeCell ref="AK10:AM10"/>
    <mergeCell ref="AN10:AP10"/>
    <mergeCell ref="AN11:AP13"/>
    <mergeCell ref="V10:X10"/>
    <mergeCell ref="B30:U33"/>
    <mergeCell ref="V30:X30"/>
    <mergeCell ref="Y30:AA30"/>
    <mergeCell ref="AA36:AG36"/>
    <mergeCell ref="AI36:AO36"/>
    <mergeCell ref="Y10:AA10"/>
    <mergeCell ref="AB10:AD10"/>
    <mergeCell ref="AE10:AG10"/>
    <mergeCell ref="AE11:AG13"/>
    <mergeCell ref="AH11:AJ13"/>
    <mergeCell ref="AN27:AP29"/>
    <mergeCell ref="T36:X36"/>
    <mergeCell ref="V31:X33"/>
    <mergeCell ref="Y31:AA33"/>
    <mergeCell ref="AB31:AD33"/>
    <mergeCell ref="AB30:AD30"/>
    <mergeCell ref="AE30:AG30"/>
    <mergeCell ref="AH30:AJ30"/>
    <mergeCell ref="AK30:AM30"/>
    <mergeCell ref="AN30:AP30"/>
    <mergeCell ref="AK34:AM34"/>
    <mergeCell ref="AN34:AP34"/>
    <mergeCell ref="AH34:AJ34"/>
    <mergeCell ref="V26:X26"/>
    <mergeCell ref="Y26:AA26"/>
    <mergeCell ref="AB26:AD26"/>
    <mergeCell ref="AE26:AG26"/>
    <mergeCell ref="V23:X25"/>
    <mergeCell ref="Y23:AA25"/>
  </mergeCells>
  <phoneticPr fontId="24" type="noConversion"/>
  <conditionalFormatting sqref="X4:X5">
    <cfRule type="cellIs" dxfId="123" priority="3" stopIfTrue="1" operator="equal">
      <formula>$AM$36</formula>
    </cfRule>
  </conditionalFormatting>
  <conditionalFormatting sqref="V5:V6 V8">
    <cfRule type="cellIs" dxfId="122" priority="4" stopIfTrue="1" operator="equal">
      <formula>$N$39</formula>
    </cfRule>
  </conditionalFormatting>
  <conditionalFormatting sqref="V15:AP25">
    <cfRule type="cellIs" dxfId="121" priority="8" stopIfTrue="1" operator="between">
      <formula>$AA$38</formula>
      <formula>$AA$39</formula>
    </cfRule>
  </conditionalFormatting>
  <conditionalFormatting sqref="V19:AP21">
    <cfRule type="cellIs" dxfId="120" priority="7" stopIfTrue="1" operator="equal">
      <formula>15</formula>
    </cfRule>
  </conditionalFormatting>
  <conditionalFormatting sqref="V7:Y7 Z6:AB6">
    <cfRule type="cellIs" dxfId="119" priority="13" stopIfTrue="1" operator="equal">
      <formula>26</formula>
    </cfRule>
  </conditionalFormatting>
  <conditionalFormatting sqref="V3">
    <cfRule type="cellIs" dxfId="118" priority="1" operator="equal">
      <formula>$G$37</formula>
    </cfRule>
  </conditionalFormatting>
  <hyperlinks>
    <hyperlink ref="AD5:AH7" location="año!A1" display="año!A1"/>
    <hyperlink ref="V1:Z1" location="JULIO!A1" display="JULIO!A1"/>
    <hyperlink ref="AJ1:AN1" location="SEPTIEMBRE!A1" display="SEPTIEMBRE!A1"/>
    <hyperlink ref="AI36:AO36" location="PORTADA!A1" display="IR A PORTADA"/>
    <hyperlink ref="AA36:AG36" location="año!A1" display="IR A AÑO COMPLETO"/>
  </hyperlinks>
  <pageMargins left="0.75" right="0.75" top="1" bottom="1" header="0" footer="0"/>
  <headerFooter alignWithMargins="0"/>
  <drawing r:id="rId1"/>
</worksheet>
</file>

<file path=xl/worksheets/sheet11.xml><?xml version="1.0" encoding="utf-8"?>
<worksheet xmlns="http://schemas.openxmlformats.org/spreadsheetml/2006/main" xmlns:r="http://schemas.openxmlformats.org/officeDocument/2006/relationships">
  <sheetPr codeName="Hoja11"/>
  <dimension ref="B1:AW70"/>
  <sheetViews>
    <sheetView showGridLines="0" showRowColHeaders="0" showZeros="0" showOutlineSymbols="0" zoomScale="125" zoomScaleNormal="125" workbookViewId="0">
      <selection activeCell="X35" sqref="X35"/>
    </sheetView>
  </sheetViews>
  <sheetFormatPr baseColWidth="10" defaultColWidth="3.33203125" defaultRowHeight="13.2"/>
  <cols>
    <col min="1" max="1" width="1.88671875" customWidth="1"/>
    <col min="2" max="2" width="2.6640625" customWidth="1"/>
    <col min="6" max="6" width="3.5546875" bestFit="1" customWidth="1"/>
    <col min="13" max="15" width="3.5546875" bestFit="1" customWidth="1"/>
    <col min="18" max="18" width="3.5546875" bestFit="1" customWidth="1"/>
    <col min="21" max="21" width="3.5546875" bestFit="1" customWidth="1"/>
    <col min="22" max="22" width="5" bestFit="1" customWidth="1"/>
    <col min="23" max="30" width="3.5546875" bestFit="1" customWidth="1"/>
    <col min="36" max="42" width="3.5546875" bestFit="1" customWidth="1"/>
  </cols>
  <sheetData>
    <row r="1" spans="2:42" ht="10.5" customHeight="1" thickBot="1">
      <c r="B1" s="1131" t="s">
        <v>991</v>
      </c>
      <c r="C1" s="1132"/>
      <c r="D1" s="1132"/>
      <c r="E1" s="1132"/>
      <c r="F1" s="1132"/>
      <c r="G1" s="1132"/>
      <c r="H1" s="1132"/>
      <c r="I1" s="1132"/>
      <c r="J1" s="1132"/>
      <c r="K1" s="1132"/>
      <c r="L1" s="1132"/>
      <c r="M1" s="1132"/>
      <c r="N1" s="1132"/>
      <c r="O1" s="1132"/>
      <c r="P1" s="1132"/>
      <c r="Q1" s="1132"/>
      <c r="R1" s="1132"/>
      <c r="S1" s="1132"/>
      <c r="T1" s="1132"/>
      <c r="U1" s="1133"/>
      <c r="V1" s="1055" t="str">
        <f>año!$K$13</f>
        <v>JUNIO</v>
      </c>
      <c r="W1" s="1056"/>
      <c r="X1" s="1056"/>
      <c r="Y1" s="1056"/>
      <c r="Z1" s="1056"/>
      <c r="AA1" s="1057">
        <f>año!$O$1</f>
        <v>2024</v>
      </c>
      <c r="AB1" s="1058"/>
      <c r="AJ1" s="1055" t="str">
        <f>año!$AA$13</f>
        <v>AGOSTO</v>
      </c>
      <c r="AK1" s="1056"/>
      <c r="AL1" s="1056"/>
      <c r="AM1" s="1056"/>
      <c r="AN1" s="1056"/>
      <c r="AO1" s="1098">
        <f>año!$O$1</f>
        <v>2024</v>
      </c>
      <c r="AP1" s="1099"/>
    </row>
    <row r="2" spans="2:42" ht="9" customHeight="1" thickBot="1">
      <c r="B2" s="1131"/>
      <c r="C2" s="1132"/>
      <c r="D2" s="1132"/>
      <c r="E2" s="1132"/>
      <c r="F2" s="1132"/>
      <c r="G2" s="1132"/>
      <c r="H2" s="1132"/>
      <c r="I2" s="1132"/>
      <c r="J2" s="1132"/>
      <c r="K2" s="1132"/>
      <c r="L2" s="1132"/>
      <c r="M2" s="1132"/>
      <c r="N2" s="1132"/>
      <c r="O2" s="1132"/>
      <c r="P2" s="1132"/>
      <c r="Q2" s="1132"/>
      <c r="R2" s="1132"/>
      <c r="S2" s="1132"/>
      <c r="T2" s="1132"/>
      <c r="U2" s="1133"/>
      <c r="V2" s="119" t="s">
        <v>20</v>
      </c>
      <c r="W2" s="120" t="s">
        <v>17</v>
      </c>
      <c r="X2" s="120" t="s">
        <v>29</v>
      </c>
      <c r="Y2" s="120" t="s">
        <v>24</v>
      </c>
      <c r="Z2" s="120" t="s">
        <v>12</v>
      </c>
      <c r="AA2" s="120" t="s">
        <v>7</v>
      </c>
      <c r="AB2" s="121" t="s">
        <v>15</v>
      </c>
      <c r="AD2" s="1126" t="str">
        <f>año!$S$13</f>
        <v>JULIO</v>
      </c>
      <c r="AE2" s="1126"/>
      <c r="AF2" s="1126"/>
      <c r="AG2" s="1126"/>
      <c r="AH2" s="1126"/>
      <c r="AJ2" s="119" t="s">
        <v>20</v>
      </c>
      <c r="AK2" s="120" t="s">
        <v>17</v>
      </c>
      <c r="AL2" s="120" t="s">
        <v>29</v>
      </c>
      <c r="AM2" s="120" t="s">
        <v>24</v>
      </c>
      <c r="AN2" s="120" t="s">
        <v>12</v>
      </c>
      <c r="AO2" s="120" t="s">
        <v>7</v>
      </c>
      <c r="AP2" s="121" t="s">
        <v>15</v>
      </c>
    </row>
    <row r="3" spans="2:42" ht="9" customHeight="1">
      <c r="B3" s="1131"/>
      <c r="C3" s="1132"/>
      <c r="D3" s="1132"/>
      <c r="E3" s="1132"/>
      <c r="F3" s="1132"/>
      <c r="G3" s="1132"/>
      <c r="H3" s="1132"/>
      <c r="I3" s="1132"/>
      <c r="J3" s="1132"/>
      <c r="K3" s="1132"/>
      <c r="L3" s="1132"/>
      <c r="M3" s="1132"/>
      <c r="N3" s="1132"/>
      <c r="O3" s="1132"/>
      <c r="P3" s="1132"/>
      <c r="Q3" s="1132"/>
      <c r="R3" s="1132"/>
      <c r="S3" s="1132"/>
      <c r="T3" s="1132"/>
      <c r="U3" s="1133"/>
      <c r="V3" s="135" t="str">
        <f>año!K15</f>
        <v xml:space="preserve"> </v>
      </c>
      <c r="W3" s="123" t="str">
        <f>año!L15</f>
        <v xml:space="preserve"> </v>
      </c>
      <c r="X3" s="123" t="str">
        <f>año!M15</f>
        <v xml:space="preserve"> </v>
      </c>
      <c r="Y3" s="123" t="str">
        <f>año!N15</f>
        <v xml:space="preserve"> </v>
      </c>
      <c r="Z3" s="123" t="str">
        <f>año!O15</f>
        <v xml:space="preserve"> </v>
      </c>
      <c r="AA3" s="418">
        <f>año!P15</f>
        <v>1</v>
      </c>
      <c r="AB3" s="132">
        <f>año!Q15</f>
        <v>2</v>
      </c>
      <c r="AD3" s="1126"/>
      <c r="AE3" s="1126"/>
      <c r="AF3" s="1126"/>
      <c r="AG3" s="1126"/>
      <c r="AH3" s="1126"/>
      <c r="AJ3" s="128" t="str">
        <f>año!AA15</f>
        <v xml:space="preserve"> </v>
      </c>
      <c r="AK3" s="129" t="str">
        <f>año!AB15</f>
        <v xml:space="preserve"> </v>
      </c>
      <c r="AL3" s="129" t="str">
        <f>año!AC15</f>
        <v xml:space="preserve"> </v>
      </c>
      <c r="AM3" s="129">
        <f>año!AD15</f>
        <v>1</v>
      </c>
      <c r="AN3" s="129">
        <f>año!AE15</f>
        <v>2</v>
      </c>
      <c r="AO3" s="129">
        <f>año!AF15</f>
        <v>3</v>
      </c>
      <c r="AP3" s="132">
        <f>año!AG15</f>
        <v>4</v>
      </c>
    </row>
    <row r="4" spans="2:42" ht="9" customHeight="1">
      <c r="B4" s="350"/>
      <c r="C4" s="349"/>
      <c r="D4" s="349"/>
      <c r="E4" s="349"/>
      <c r="F4" s="349"/>
      <c r="G4" s="349"/>
      <c r="H4" s="349"/>
      <c r="I4" s="349"/>
      <c r="J4" s="349"/>
      <c r="K4" s="349"/>
      <c r="L4" s="349"/>
      <c r="M4" s="349"/>
      <c r="N4" s="349"/>
      <c r="O4" s="349"/>
      <c r="P4" s="349"/>
      <c r="Q4" s="349"/>
      <c r="R4" s="349"/>
      <c r="S4" s="349"/>
      <c r="T4" s="349"/>
      <c r="U4" s="351"/>
      <c r="V4" s="124">
        <f>año!K16</f>
        <v>3</v>
      </c>
      <c r="W4" s="125">
        <f>año!L16</f>
        <v>4</v>
      </c>
      <c r="X4" s="125">
        <f>año!M16</f>
        <v>5</v>
      </c>
      <c r="Y4" s="125">
        <f>año!N16</f>
        <v>6</v>
      </c>
      <c r="Z4" s="125">
        <f>año!O16</f>
        <v>7</v>
      </c>
      <c r="AA4" s="722">
        <f>año!P16</f>
        <v>8</v>
      </c>
      <c r="AB4" s="133">
        <f>año!Q16</f>
        <v>9</v>
      </c>
      <c r="AD4" s="1126"/>
      <c r="AE4" s="1126"/>
      <c r="AF4" s="1126"/>
      <c r="AG4" s="1126"/>
      <c r="AH4" s="1126"/>
      <c r="AJ4" s="130">
        <f>año!AA16</f>
        <v>5</v>
      </c>
      <c r="AK4" s="131">
        <f>año!AB16</f>
        <v>6</v>
      </c>
      <c r="AL4" s="131">
        <f>año!AC16</f>
        <v>7</v>
      </c>
      <c r="AM4" s="216">
        <f>año!AD16</f>
        <v>8</v>
      </c>
      <c r="AN4" s="131">
        <f>año!AE16</f>
        <v>9</v>
      </c>
      <c r="AO4" s="415">
        <f>año!AF16</f>
        <v>10</v>
      </c>
      <c r="AP4" s="416">
        <f>año!AG16</f>
        <v>11</v>
      </c>
    </row>
    <row r="5" spans="2:42" ht="9" customHeight="1">
      <c r="B5" s="350"/>
      <c r="D5" s="349"/>
      <c r="E5" s="349"/>
      <c r="F5" s="349"/>
      <c r="G5" s="349"/>
      <c r="H5" s="349"/>
      <c r="I5" s="349"/>
      <c r="J5" s="349"/>
      <c r="K5" s="349"/>
      <c r="L5" s="349"/>
      <c r="M5" s="349"/>
      <c r="N5" s="349"/>
      <c r="O5" s="349"/>
      <c r="P5" s="349"/>
      <c r="Q5" s="349"/>
      <c r="R5" s="349"/>
      <c r="S5" s="349"/>
      <c r="T5" s="349"/>
      <c r="U5" s="351"/>
      <c r="V5" s="124">
        <f>año!K17</f>
        <v>10</v>
      </c>
      <c r="W5" s="125">
        <f>año!L17</f>
        <v>11</v>
      </c>
      <c r="X5" s="125">
        <f>año!M17</f>
        <v>12</v>
      </c>
      <c r="Y5" s="125">
        <f>año!N17</f>
        <v>13</v>
      </c>
      <c r="Z5" s="125">
        <f>año!O17</f>
        <v>14</v>
      </c>
      <c r="AA5" s="125">
        <f>año!P17</f>
        <v>15</v>
      </c>
      <c r="AB5" s="133">
        <f>año!Q17</f>
        <v>16</v>
      </c>
      <c r="AD5" s="1044">
        <f>año!$O$1</f>
        <v>2024</v>
      </c>
      <c r="AE5" s="1045"/>
      <c r="AF5" s="1045"/>
      <c r="AG5" s="1045"/>
      <c r="AH5" s="1045"/>
      <c r="AJ5" s="130">
        <f>año!AA17</f>
        <v>12</v>
      </c>
      <c r="AK5" s="131">
        <f>año!AB17</f>
        <v>13</v>
      </c>
      <c r="AL5" s="131">
        <f>año!AC17</f>
        <v>14</v>
      </c>
      <c r="AM5" s="131">
        <f>año!AD17</f>
        <v>15</v>
      </c>
      <c r="AN5" s="131">
        <f>año!AE17</f>
        <v>16</v>
      </c>
      <c r="AO5" s="131">
        <f>año!AF17</f>
        <v>17</v>
      </c>
      <c r="AP5" s="133">
        <f>año!AG17</f>
        <v>18</v>
      </c>
    </row>
    <row r="6" spans="2:42" ht="9" customHeight="1">
      <c r="B6" s="350"/>
      <c r="C6" s="349"/>
      <c r="D6" s="349"/>
      <c r="E6" s="349"/>
      <c r="F6" s="349"/>
      <c r="G6" s="349"/>
      <c r="H6" s="349"/>
      <c r="I6" s="349"/>
      <c r="J6" s="349"/>
      <c r="K6" s="349"/>
      <c r="L6" s="349"/>
      <c r="M6" s="349"/>
      <c r="N6" s="349"/>
      <c r="O6" s="349"/>
      <c r="P6" s="349"/>
      <c r="Q6" s="349"/>
      <c r="R6" s="349"/>
      <c r="S6" s="349"/>
      <c r="T6" s="349"/>
      <c r="U6" s="351"/>
      <c r="V6" s="124">
        <f>año!K18</f>
        <v>17</v>
      </c>
      <c r="W6" s="125">
        <f>año!L18</f>
        <v>18</v>
      </c>
      <c r="X6" s="125">
        <f>año!M18</f>
        <v>19</v>
      </c>
      <c r="Y6" s="125">
        <f>año!N18</f>
        <v>20</v>
      </c>
      <c r="Z6" s="125">
        <f>año!O18</f>
        <v>21</v>
      </c>
      <c r="AA6" s="709">
        <f>año!P18</f>
        <v>22</v>
      </c>
      <c r="AB6" s="133">
        <f>año!Q18</f>
        <v>23</v>
      </c>
      <c r="AD6" s="1045"/>
      <c r="AE6" s="1045"/>
      <c r="AF6" s="1045"/>
      <c r="AG6" s="1045"/>
      <c r="AH6" s="1045"/>
      <c r="AJ6" s="130">
        <f>año!AA18</f>
        <v>19</v>
      </c>
      <c r="AK6" s="131">
        <f>año!AB18</f>
        <v>20</v>
      </c>
      <c r="AL6" s="131">
        <f>año!AC18</f>
        <v>21</v>
      </c>
      <c r="AM6" s="131">
        <f>año!AD18</f>
        <v>22</v>
      </c>
      <c r="AN6" s="131">
        <f>año!AE18</f>
        <v>23</v>
      </c>
      <c r="AO6" s="131">
        <f>año!AF18</f>
        <v>24</v>
      </c>
      <c r="AP6" s="133">
        <f>año!AG18</f>
        <v>25</v>
      </c>
    </row>
    <row r="7" spans="2:42" ht="9" customHeight="1">
      <c r="B7" s="350"/>
      <c r="C7" s="349"/>
      <c r="D7" s="349"/>
      <c r="F7" s="349"/>
      <c r="G7" s="349"/>
      <c r="H7" s="349"/>
      <c r="I7" s="349"/>
      <c r="J7" s="349"/>
      <c r="K7" s="349"/>
      <c r="L7" s="349"/>
      <c r="M7" s="349"/>
      <c r="N7" s="349"/>
      <c r="O7" s="349"/>
      <c r="P7" s="349"/>
      <c r="Q7" s="349"/>
      <c r="R7" s="349"/>
      <c r="S7" s="349"/>
      <c r="T7" s="349"/>
      <c r="U7" s="351"/>
      <c r="V7" s="720">
        <f>año!K19</f>
        <v>24</v>
      </c>
      <c r="W7" s="125">
        <f>año!L19</f>
        <v>25</v>
      </c>
      <c r="X7" s="125">
        <f>año!M19</f>
        <v>26</v>
      </c>
      <c r="Y7" s="125">
        <f>año!N19</f>
        <v>27</v>
      </c>
      <c r="Z7" s="125">
        <f>año!O19</f>
        <v>28</v>
      </c>
      <c r="AA7" s="125">
        <f>año!P19</f>
        <v>29</v>
      </c>
      <c r="AB7" s="133">
        <f>año!Q19</f>
        <v>30</v>
      </c>
      <c r="AD7" s="1045"/>
      <c r="AE7" s="1045"/>
      <c r="AF7" s="1045"/>
      <c r="AG7" s="1045"/>
      <c r="AH7" s="1045"/>
      <c r="AJ7" s="130">
        <f>año!AA19</f>
        <v>26</v>
      </c>
      <c r="AK7" s="131">
        <f>año!AB19</f>
        <v>27</v>
      </c>
      <c r="AL7" s="131">
        <f>año!AC19</f>
        <v>28</v>
      </c>
      <c r="AM7" s="392">
        <f>año!AD19</f>
        <v>29</v>
      </c>
      <c r="AN7" s="131">
        <f>año!AE19</f>
        <v>30</v>
      </c>
      <c r="AO7" s="131">
        <f>año!AF19</f>
        <v>31</v>
      </c>
      <c r="AP7" s="133" t="str">
        <f>año!AG19</f>
        <v xml:space="preserve"> </v>
      </c>
    </row>
    <row r="8" spans="2:42" ht="9" customHeight="1" thickBot="1">
      <c r="B8" s="350"/>
      <c r="C8" s="349"/>
      <c r="D8" s="349"/>
      <c r="E8" s="349"/>
      <c r="F8" s="349"/>
      <c r="G8" s="349"/>
      <c r="H8" s="349"/>
      <c r="I8" s="349"/>
      <c r="J8" s="349"/>
      <c r="K8" s="349"/>
      <c r="L8" s="349"/>
      <c r="M8" s="349"/>
      <c r="N8" s="349"/>
      <c r="O8" s="349"/>
      <c r="P8" s="349"/>
      <c r="Q8" s="349"/>
      <c r="R8" s="349"/>
      <c r="S8" s="349"/>
      <c r="T8" s="349"/>
      <c r="U8" s="352"/>
      <c r="V8" s="126" t="str">
        <f>año!K20</f>
        <v xml:space="preserve"> </v>
      </c>
      <c r="W8" s="127" t="str">
        <f>año!L20</f>
        <v xml:space="preserve"> </v>
      </c>
      <c r="X8" s="127" t="str">
        <f>año!M20</f>
        <v xml:space="preserve"> </v>
      </c>
      <c r="Y8" s="127" t="str">
        <f>año!N20</f>
        <v xml:space="preserve"> </v>
      </c>
      <c r="Z8" s="127" t="str">
        <f>año!O20</f>
        <v xml:space="preserve"> </v>
      </c>
      <c r="AA8" s="127" t="str">
        <f>año!P20</f>
        <v xml:space="preserve"> </v>
      </c>
      <c r="AB8" s="134" t="str">
        <f>año!Q20</f>
        <v xml:space="preserve"> </v>
      </c>
      <c r="AJ8" s="126" t="str">
        <f>año!AA20</f>
        <v xml:space="preserve"> </v>
      </c>
      <c r="AK8" s="127" t="str">
        <f>año!AB20</f>
        <v xml:space="preserve"> </v>
      </c>
      <c r="AL8" s="127" t="str">
        <f>año!AC20</f>
        <v xml:space="preserve"> </v>
      </c>
      <c r="AM8" s="127" t="str">
        <f>año!AD20</f>
        <v xml:space="preserve"> </v>
      </c>
      <c r="AN8" s="127" t="str">
        <f>año!AE20</f>
        <v xml:space="preserve"> </v>
      </c>
      <c r="AO8" s="127" t="str">
        <f>año!AF20</f>
        <v xml:space="preserve"> </v>
      </c>
      <c r="AP8" s="137" t="str">
        <f>año!AG20</f>
        <v xml:space="preserve"> </v>
      </c>
    </row>
    <row r="9" spans="2:42" ht="9" customHeight="1">
      <c r="B9" s="350"/>
      <c r="C9" s="349"/>
      <c r="D9" s="349"/>
      <c r="E9" s="349"/>
      <c r="F9" s="349"/>
      <c r="G9" s="349"/>
      <c r="H9" s="349"/>
      <c r="I9" s="349"/>
      <c r="J9" s="349"/>
      <c r="K9" s="349"/>
      <c r="L9" s="349"/>
      <c r="M9" s="349"/>
      <c r="N9" s="349"/>
      <c r="O9" s="349"/>
      <c r="P9" s="349"/>
      <c r="Q9" s="349"/>
      <c r="R9" s="349"/>
      <c r="S9" s="349"/>
      <c r="T9" s="349"/>
      <c r="U9" s="352"/>
      <c r="V9" s="112"/>
      <c r="W9" s="112"/>
      <c r="X9" s="112"/>
      <c r="Y9" s="112"/>
      <c r="Z9" s="112"/>
      <c r="AA9" s="112"/>
      <c r="AB9" s="112"/>
      <c r="AC9" s="112"/>
      <c r="AD9" s="112"/>
      <c r="AE9" s="112"/>
      <c r="AF9" s="112"/>
      <c r="AG9" s="112"/>
      <c r="AH9" s="112"/>
      <c r="AI9" s="112"/>
      <c r="AJ9" s="112"/>
      <c r="AK9" s="112"/>
      <c r="AL9" s="112"/>
      <c r="AM9" s="112"/>
      <c r="AN9" s="112"/>
      <c r="AO9" s="112"/>
      <c r="AP9" s="112"/>
    </row>
    <row r="10" spans="2:42" ht="9" customHeight="1">
      <c r="B10" s="350"/>
      <c r="C10" s="349"/>
      <c r="D10" s="349"/>
      <c r="E10" s="349"/>
      <c r="F10" s="349"/>
      <c r="G10" s="349"/>
      <c r="H10" s="349"/>
      <c r="I10" s="349"/>
      <c r="J10" s="349"/>
      <c r="K10" s="349"/>
      <c r="L10" s="349"/>
      <c r="M10" s="349"/>
      <c r="N10" s="349"/>
      <c r="O10" s="349"/>
      <c r="P10" s="349"/>
      <c r="Q10" s="349"/>
      <c r="R10" s="349"/>
      <c r="S10" s="349"/>
      <c r="T10" s="349"/>
      <c r="U10" s="352"/>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047"/>
    </row>
    <row r="11" spans="2:42" ht="9" customHeight="1">
      <c r="B11" s="350"/>
      <c r="C11" s="349"/>
      <c r="D11" s="349"/>
      <c r="E11" s="349"/>
      <c r="F11" s="349"/>
      <c r="G11" s="349"/>
      <c r="H11" s="349"/>
      <c r="I11" s="349"/>
      <c r="J11" s="349"/>
      <c r="K11" s="349"/>
      <c r="L11" s="349"/>
      <c r="M11" s="349"/>
      <c r="N11" s="349"/>
      <c r="O11" s="349"/>
      <c r="P11" s="349"/>
      <c r="Q11" s="349"/>
      <c r="R11" s="349"/>
      <c r="S11" s="349"/>
      <c r="T11" s="349"/>
      <c r="U11" s="352"/>
      <c r="V11" s="1060">
        <f>año!S15</f>
        <v>1</v>
      </c>
      <c r="W11" s="1061"/>
      <c r="X11" s="1061"/>
      <c r="Y11" s="1061">
        <f>año!T15</f>
        <v>2</v>
      </c>
      <c r="Z11" s="1061"/>
      <c r="AA11" s="1061"/>
      <c r="AB11" s="1052">
        <f>año!U15</f>
        <v>3</v>
      </c>
      <c r="AC11" s="1052"/>
      <c r="AD11" s="1052"/>
      <c r="AE11" s="1052">
        <f>año!V15</f>
        <v>4</v>
      </c>
      <c r="AF11" s="1052"/>
      <c r="AG11" s="1052"/>
      <c r="AH11" s="1052">
        <f>año!W15</f>
        <v>5</v>
      </c>
      <c r="AI11" s="1052"/>
      <c r="AJ11" s="1052"/>
      <c r="AK11" s="1052">
        <f>año!X15</f>
        <v>6</v>
      </c>
      <c r="AL11" s="1052"/>
      <c r="AM11" s="1052"/>
      <c r="AN11" s="1062">
        <f>año!Y15</f>
        <v>7</v>
      </c>
      <c r="AO11" s="1062"/>
      <c r="AP11" s="1063"/>
    </row>
    <row r="12" spans="2:42" ht="9" customHeight="1">
      <c r="B12" s="350"/>
      <c r="C12" s="349"/>
      <c r="D12" s="349"/>
      <c r="E12" s="349"/>
      <c r="F12" s="349"/>
      <c r="G12" s="349"/>
      <c r="H12" s="349"/>
      <c r="I12" s="349"/>
      <c r="J12" s="349"/>
      <c r="K12" s="349"/>
      <c r="L12" s="349"/>
      <c r="M12" s="349"/>
      <c r="N12" s="349"/>
      <c r="O12" s="349"/>
      <c r="P12" s="349"/>
      <c r="Q12" s="349"/>
      <c r="R12" s="349"/>
      <c r="S12" s="349"/>
      <c r="T12" s="349"/>
      <c r="U12" s="352"/>
      <c r="V12" s="1051"/>
      <c r="W12" s="1052"/>
      <c r="X12" s="1052"/>
      <c r="Y12" s="1052"/>
      <c r="Z12" s="1052"/>
      <c r="AA12" s="1052"/>
      <c r="AB12" s="1052"/>
      <c r="AC12" s="1052"/>
      <c r="AD12" s="1052"/>
      <c r="AE12" s="1052"/>
      <c r="AF12" s="1052"/>
      <c r="AG12" s="1052"/>
      <c r="AH12" s="1052"/>
      <c r="AI12" s="1052"/>
      <c r="AJ12" s="1052"/>
      <c r="AK12" s="1052"/>
      <c r="AL12" s="1052"/>
      <c r="AM12" s="1052"/>
      <c r="AN12" s="1064"/>
      <c r="AO12" s="1064"/>
      <c r="AP12" s="1065"/>
    </row>
    <row r="13" spans="2:42" ht="9" customHeight="1">
      <c r="B13" s="350"/>
      <c r="C13" s="349"/>
      <c r="D13" s="349"/>
      <c r="E13" s="349"/>
      <c r="F13" s="349"/>
      <c r="G13" s="349"/>
      <c r="H13" s="349"/>
      <c r="I13" s="349"/>
      <c r="J13" s="349"/>
      <c r="K13" s="349"/>
      <c r="L13" s="349"/>
      <c r="M13" s="349"/>
      <c r="N13" s="349"/>
      <c r="O13" s="349"/>
      <c r="P13" s="349"/>
      <c r="Q13" s="349"/>
      <c r="R13" s="349"/>
      <c r="S13" s="349"/>
      <c r="T13" s="349"/>
      <c r="U13" s="352"/>
      <c r="V13" s="1051"/>
      <c r="W13" s="1052"/>
      <c r="X13" s="1052"/>
      <c r="Y13" s="1052"/>
      <c r="Z13" s="1052"/>
      <c r="AA13" s="1052"/>
      <c r="AB13" s="1052"/>
      <c r="AC13" s="1052"/>
      <c r="AD13" s="1052"/>
      <c r="AE13" s="1052"/>
      <c r="AF13" s="1052"/>
      <c r="AG13" s="1052"/>
      <c r="AH13" s="1052"/>
      <c r="AI13" s="1052"/>
      <c r="AJ13" s="1052"/>
      <c r="AK13" s="1052"/>
      <c r="AL13" s="1052"/>
      <c r="AM13" s="1052"/>
      <c r="AN13" s="1064"/>
      <c r="AO13" s="1064"/>
      <c r="AP13" s="1065"/>
    </row>
    <row r="14" spans="2:42" ht="9" customHeight="1">
      <c r="B14" s="350"/>
      <c r="C14" s="349"/>
      <c r="D14" s="349"/>
      <c r="E14" s="349"/>
      <c r="F14" s="349"/>
      <c r="G14" s="349"/>
      <c r="H14" s="349"/>
      <c r="I14" s="349"/>
      <c r="J14" s="349"/>
      <c r="K14" s="349"/>
      <c r="L14" s="349"/>
      <c r="M14" s="349"/>
      <c r="N14" s="349"/>
      <c r="O14" s="349"/>
      <c r="P14" s="349"/>
      <c r="Q14" s="349"/>
      <c r="R14" s="349"/>
      <c r="S14" s="349"/>
      <c r="T14" s="349"/>
      <c r="U14" s="352"/>
      <c r="V14" s="1049" t="str">
        <f>IF(V11&lt;&gt;" ",VLOOKUP(V11,$F$40:$H$70,2)," ")</f>
        <v>Aarón</v>
      </c>
      <c r="W14" s="1050"/>
      <c r="X14" s="1050"/>
      <c r="Y14" s="1050" t="str">
        <f>IF(Y11&lt;&gt;" ",VLOOKUP(Y11,$F$40:$H$70,2)," ")</f>
        <v>Bernardino</v>
      </c>
      <c r="Z14" s="1050"/>
      <c r="AA14" s="1050"/>
      <c r="AB14" s="1050" t="str">
        <f>IF(AB11&lt;&gt;" ",VLOOKUP(AB11,$F$40:$H$70,2)," ")</f>
        <v>Tomás</v>
      </c>
      <c r="AC14" s="1050"/>
      <c r="AD14" s="1050"/>
      <c r="AE14" s="1050" t="str">
        <f>IF(AE11&lt;&gt;" ",VLOOKUP(AE11,$F$40:$H$70,2)," ")</f>
        <v>Isabel Portugal</v>
      </c>
      <c r="AF14" s="1050"/>
      <c r="AG14" s="1050"/>
      <c r="AH14" s="1050" t="str">
        <f>IF(AH11&lt;&gt;" ",VLOOKUP(AH11,$F$40:$H$70,2)," ")</f>
        <v>Antonio Maria</v>
      </c>
      <c r="AI14" s="1050"/>
      <c r="AJ14" s="1050"/>
      <c r="AK14" s="1050" t="str">
        <f>IF(AK11&lt;&gt;" ",VLOOKUP(AK11,$F$40:$H$70,2)," ")</f>
        <v>Maria Goretti</v>
      </c>
      <c r="AL14" s="1050"/>
      <c r="AM14" s="1050"/>
      <c r="AN14" s="1050" t="str">
        <f>IF(AN11&lt;&gt;" ",VLOOKUP(AN11,$F$40:$H$70,2)," ")</f>
        <v>Fermín</v>
      </c>
      <c r="AO14" s="1050"/>
      <c r="AP14" s="1066"/>
    </row>
    <row r="15" spans="2:42" ht="9" customHeight="1">
      <c r="B15" s="350"/>
      <c r="C15" s="349"/>
      <c r="D15" s="349"/>
      <c r="E15" s="349"/>
      <c r="F15" s="349"/>
      <c r="G15" s="349"/>
      <c r="H15" s="349"/>
      <c r="I15" s="349"/>
      <c r="J15" s="349"/>
      <c r="K15" s="349"/>
      <c r="L15" s="349"/>
      <c r="M15" s="349"/>
      <c r="N15" s="349"/>
      <c r="O15" s="349"/>
      <c r="P15" s="349"/>
      <c r="Q15" s="349"/>
      <c r="R15" s="349"/>
      <c r="S15" s="349"/>
      <c r="T15" s="349"/>
      <c r="U15" s="352"/>
      <c r="V15" s="1051">
        <f>año!S16</f>
        <v>8</v>
      </c>
      <c r="W15" s="1052"/>
      <c r="X15" s="1052"/>
      <c r="Y15" s="1052">
        <f>año!T16</f>
        <v>9</v>
      </c>
      <c r="Z15" s="1052"/>
      <c r="AA15" s="1052"/>
      <c r="AB15" s="1052">
        <f>año!U16</f>
        <v>10</v>
      </c>
      <c r="AC15" s="1052"/>
      <c r="AD15" s="1052"/>
      <c r="AE15" s="1052">
        <f>año!V16</f>
        <v>11</v>
      </c>
      <c r="AF15" s="1052"/>
      <c r="AG15" s="1052"/>
      <c r="AH15" s="1052">
        <f>año!W16</f>
        <v>12</v>
      </c>
      <c r="AI15" s="1052"/>
      <c r="AJ15" s="1052"/>
      <c r="AK15" s="1052">
        <f>año!X16</f>
        <v>13</v>
      </c>
      <c r="AL15" s="1052"/>
      <c r="AM15" s="1052"/>
      <c r="AN15" s="1064">
        <f>año!Y16</f>
        <v>14</v>
      </c>
      <c r="AO15" s="1064"/>
      <c r="AP15" s="1065"/>
    </row>
    <row r="16" spans="2:42" ht="9" customHeight="1">
      <c r="B16" s="350"/>
      <c r="C16" s="349"/>
      <c r="D16" s="349"/>
      <c r="E16" s="349"/>
      <c r="F16" s="349"/>
      <c r="G16" s="349"/>
      <c r="H16" s="349"/>
      <c r="I16" s="349"/>
      <c r="J16" s="349"/>
      <c r="K16" s="349"/>
      <c r="L16" s="349"/>
      <c r="M16" s="349"/>
      <c r="N16" s="349"/>
      <c r="O16" s="349"/>
      <c r="P16" s="349"/>
      <c r="Q16" s="349"/>
      <c r="R16" s="349"/>
      <c r="S16" s="349"/>
      <c r="T16" s="349"/>
      <c r="U16" s="352"/>
      <c r="V16" s="1051"/>
      <c r="W16" s="1052"/>
      <c r="X16" s="1052"/>
      <c r="Y16" s="1052"/>
      <c r="Z16" s="1052"/>
      <c r="AA16" s="1052"/>
      <c r="AB16" s="1052"/>
      <c r="AC16" s="1052"/>
      <c r="AD16" s="1052"/>
      <c r="AE16" s="1052"/>
      <c r="AF16" s="1052"/>
      <c r="AG16" s="1052"/>
      <c r="AH16" s="1052"/>
      <c r="AI16" s="1052"/>
      <c r="AJ16" s="1052"/>
      <c r="AK16" s="1052"/>
      <c r="AL16" s="1052"/>
      <c r="AM16" s="1052"/>
      <c r="AN16" s="1064"/>
      <c r="AO16" s="1064"/>
      <c r="AP16" s="1065"/>
    </row>
    <row r="17" spans="2:42" ht="9" customHeight="1">
      <c r="B17" s="350"/>
      <c r="C17" s="349"/>
      <c r="D17" s="349"/>
      <c r="E17" s="349"/>
      <c r="F17" s="349"/>
      <c r="G17" s="349"/>
      <c r="H17" s="349"/>
      <c r="I17" s="349"/>
      <c r="J17" s="349"/>
      <c r="K17" s="349"/>
      <c r="L17" s="349"/>
      <c r="M17" s="349"/>
      <c r="N17" s="349"/>
      <c r="O17" s="349"/>
      <c r="P17" s="349"/>
      <c r="Q17" s="349"/>
      <c r="R17" s="349"/>
      <c r="S17" s="349"/>
      <c r="T17" s="349"/>
      <c r="U17" s="352"/>
      <c r="V17" s="1051"/>
      <c r="W17" s="1052"/>
      <c r="X17" s="1052"/>
      <c r="Y17" s="1052"/>
      <c r="Z17" s="1052"/>
      <c r="AA17" s="1052"/>
      <c r="AB17" s="1052"/>
      <c r="AC17" s="1052"/>
      <c r="AD17" s="1052"/>
      <c r="AE17" s="1052"/>
      <c r="AF17" s="1052"/>
      <c r="AG17" s="1052"/>
      <c r="AH17" s="1052"/>
      <c r="AI17" s="1052"/>
      <c r="AJ17" s="1052"/>
      <c r="AK17" s="1052"/>
      <c r="AL17" s="1052"/>
      <c r="AM17" s="1052"/>
      <c r="AN17" s="1064"/>
      <c r="AO17" s="1064"/>
      <c r="AP17" s="1065"/>
    </row>
    <row r="18" spans="2:42" ht="9" customHeight="1">
      <c r="B18" s="350"/>
      <c r="C18" s="349"/>
      <c r="D18" s="349"/>
      <c r="E18" s="349"/>
      <c r="F18" s="349"/>
      <c r="G18" s="349"/>
      <c r="H18" s="349"/>
      <c r="I18" s="349"/>
      <c r="J18" s="349"/>
      <c r="K18" s="349"/>
      <c r="L18" s="349"/>
      <c r="M18" s="349"/>
      <c r="N18" s="349"/>
      <c r="O18" s="349"/>
      <c r="P18" s="349"/>
      <c r="Q18" s="349"/>
      <c r="R18" s="349"/>
      <c r="S18" s="349"/>
      <c r="T18" s="349"/>
      <c r="U18" s="352"/>
      <c r="V18" s="1049" t="str">
        <f>IF(V15&lt;&gt;" ",VLOOKUP(V15,$F$40:$H$70,2)," ")</f>
        <v>Gregorio</v>
      </c>
      <c r="W18" s="1050"/>
      <c r="X18" s="1050"/>
      <c r="Y18" s="1050" t="str">
        <f>IF(Y15&lt;&gt;" ",VLOOKUP(Y15,$F$40:$H$70,2)," ")</f>
        <v>Verónica</v>
      </c>
      <c r="Z18" s="1050"/>
      <c r="AA18" s="1050"/>
      <c r="AB18" s="1050" t="str">
        <f>IF(AB15&lt;&gt;" ",VLOOKUP(AB15,$F$40:$H$70,2)," ")</f>
        <v>Cristóbal</v>
      </c>
      <c r="AC18" s="1050"/>
      <c r="AD18" s="1050"/>
      <c r="AE18" s="1050" t="str">
        <f>IF(AE15&lt;&gt;" ",VLOOKUP(AE15,$F$40:$H$70,2)," ")</f>
        <v>Benedicto</v>
      </c>
      <c r="AF18" s="1050"/>
      <c r="AG18" s="1050"/>
      <c r="AH18" s="1050" t="str">
        <f>IF(AH15&lt;&gt;" ",VLOOKUP(AH15,$F$40:$H$70,2)," ")</f>
        <v>Marciana</v>
      </c>
      <c r="AI18" s="1050"/>
      <c r="AJ18" s="1050"/>
      <c r="AK18" s="1050" t="str">
        <f>IF(AK15&lt;&gt;" ",VLOOKUP(AK15,$F$40:$H$70,2)," ")</f>
        <v>Enrique</v>
      </c>
      <c r="AL18" s="1050"/>
      <c r="AM18" s="1050"/>
      <c r="AN18" s="1050" t="str">
        <f>IF(AN15&lt;&gt;" ",VLOOKUP(AN15,$F$40:$H$70,2)," ")</f>
        <v>Camilo</v>
      </c>
      <c r="AO18" s="1050"/>
      <c r="AP18" s="1066"/>
    </row>
    <row r="19" spans="2:42" ht="9" customHeight="1">
      <c r="B19" s="350"/>
      <c r="C19" s="349"/>
      <c r="D19" s="349"/>
      <c r="E19" s="349"/>
      <c r="F19" s="349"/>
      <c r="G19" s="349"/>
      <c r="H19" s="349"/>
      <c r="I19" s="349"/>
      <c r="J19" s="349"/>
      <c r="K19" s="349"/>
      <c r="L19" s="349"/>
      <c r="M19" s="349"/>
      <c r="N19" s="349"/>
      <c r="O19" s="349"/>
      <c r="P19" s="349"/>
      <c r="Q19" s="349"/>
      <c r="R19" s="349"/>
      <c r="S19" s="349"/>
      <c r="T19" s="349"/>
      <c r="U19" s="352"/>
      <c r="V19" s="1051">
        <f>año!S17</f>
        <v>15</v>
      </c>
      <c r="W19" s="1052"/>
      <c r="X19" s="1052"/>
      <c r="Y19" s="1052">
        <f>año!T17</f>
        <v>16</v>
      </c>
      <c r="Z19" s="1052"/>
      <c r="AA19" s="1052"/>
      <c r="AB19" s="1052">
        <f>año!U17</f>
        <v>17</v>
      </c>
      <c r="AC19" s="1052"/>
      <c r="AD19" s="1052"/>
      <c r="AE19" s="1052">
        <f>año!V17</f>
        <v>18</v>
      </c>
      <c r="AF19" s="1052"/>
      <c r="AG19" s="1052"/>
      <c r="AH19" s="1130">
        <f>año!W17</f>
        <v>19</v>
      </c>
      <c r="AI19" s="1130"/>
      <c r="AJ19" s="1130"/>
      <c r="AK19" s="1072">
        <f>año!X17</f>
        <v>20</v>
      </c>
      <c r="AL19" s="1072"/>
      <c r="AM19" s="1072"/>
      <c r="AN19" s="1135">
        <f>año!Y17</f>
        <v>21</v>
      </c>
      <c r="AO19" s="1135"/>
      <c r="AP19" s="1136"/>
    </row>
    <row r="20" spans="2:42" ht="9" customHeight="1">
      <c r="B20" s="350"/>
      <c r="C20" s="349"/>
      <c r="D20" s="349"/>
      <c r="E20" s="349"/>
      <c r="F20" s="349"/>
      <c r="G20" s="349"/>
      <c r="H20" s="349"/>
      <c r="I20" s="349"/>
      <c r="J20" s="349"/>
      <c r="K20" s="349"/>
      <c r="L20" s="349"/>
      <c r="M20" s="349"/>
      <c r="N20" s="349"/>
      <c r="O20" s="349"/>
      <c r="P20" s="349"/>
      <c r="Q20" s="349"/>
      <c r="R20" s="349"/>
      <c r="S20" s="349"/>
      <c r="T20" s="349"/>
      <c r="U20" s="352"/>
      <c r="V20" s="1051"/>
      <c r="W20" s="1052"/>
      <c r="X20" s="1052"/>
      <c r="Y20" s="1052"/>
      <c r="Z20" s="1052"/>
      <c r="AA20" s="1052"/>
      <c r="AB20" s="1052"/>
      <c r="AC20" s="1052"/>
      <c r="AD20" s="1052"/>
      <c r="AE20" s="1052"/>
      <c r="AF20" s="1052"/>
      <c r="AG20" s="1052"/>
      <c r="AH20" s="1130"/>
      <c r="AI20" s="1130"/>
      <c r="AJ20" s="1130"/>
      <c r="AK20" s="1072"/>
      <c r="AL20" s="1072"/>
      <c r="AM20" s="1072"/>
      <c r="AN20" s="1135"/>
      <c r="AO20" s="1135"/>
      <c r="AP20" s="1136"/>
    </row>
    <row r="21" spans="2:42" ht="9" customHeight="1">
      <c r="B21" s="350"/>
      <c r="C21" s="349"/>
      <c r="D21" s="349"/>
      <c r="E21" s="349"/>
      <c r="F21" s="349"/>
      <c r="G21" s="349"/>
      <c r="H21" s="349"/>
      <c r="I21" s="349"/>
      <c r="J21" s="349"/>
      <c r="K21" s="349"/>
      <c r="L21" s="349"/>
      <c r="M21" s="349"/>
      <c r="N21" s="349"/>
      <c r="O21" s="349"/>
      <c r="P21" s="349"/>
      <c r="Q21" s="349"/>
      <c r="R21" s="349"/>
      <c r="S21" s="349"/>
      <c r="T21" s="349"/>
      <c r="U21" s="352"/>
      <c r="V21" s="1051"/>
      <c r="W21" s="1052"/>
      <c r="X21" s="1052"/>
      <c r="Y21" s="1052"/>
      <c r="Z21" s="1052"/>
      <c r="AA21" s="1052"/>
      <c r="AB21" s="1052"/>
      <c r="AC21" s="1052"/>
      <c r="AD21" s="1052"/>
      <c r="AE21" s="1052"/>
      <c r="AF21" s="1052"/>
      <c r="AG21" s="1052"/>
      <c r="AH21" s="1130"/>
      <c r="AI21" s="1130"/>
      <c r="AJ21" s="1130"/>
      <c r="AK21" s="1072"/>
      <c r="AL21" s="1072"/>
      <c r="AM21" s="1072"/>
      <c r="AN21" s="1135"/>
      <c r="AO21" s="1135"/>
      <c r="AP21" s="1136"/>
    </row>
    <row r="22" spans="2:42" ht="9" customHeight="1">
      <c r="B22" s="350"/>
      <c r="C22" s="349"/>
      <c r="D22" s="349"/>
      <c r="E22" s="349"/>
      <c r="F22" s="349"/>
      <c r="G22" s="349"/>
      <c r="H22" s="349"/>
      <c r="I22" s="349"/>
      <c r="J22" s="349"/>
      <c r="K22" s="349"/>
      <c r="L22" s="349"/>
      <c r="M22" s="349"/>
      <c r="N22" s="349"/>
      <c r="O22" s="349"/>
      <c r="P22" s="349"/>
      <c r="Q22" s="349"/>
      <c r="R22" s="349"/>
      <c r="S22" s="349"/>
      <c r="T22" s="349"/>
      <c r="U22" s="352"/>
      <c r="V22" s="1049" t="str">
        <f>IF(V19&lt;&gt;" ",VLOOKUP(V19,$F$40:$H$70,2)," ")</f>
        <v>Buenaventura</v>
      </c>
      <c r="W22" s="1050"/>
      <c r="X22" s="1050"/>
      <c r="Y22" s="1050" t="str">
        <f>IF(Y19&lt;&gt;" ",VLOOKUP(Y19,$F$40:$H$70,2)," ")</f>
        <v>Ntra.Sra. Carmen</v>
      </c>
      <c r="Z22" s="1050"/>
      <c r="AA22" s="1050"/>
      <c r="AB22" s="1050" t="str">
        <f>IF(AB19&lt;&gt;" ",VLOOKUP(AB19,$F$40:$H$70,2)," ")</f>
        <v>Justa y Rufina</v>
      </c>
      <c r="AC22" s="1050"/>
      <c r="AD22" s="1050"/>
      <c r="AE22" s="1050" t="str">
        <f>IF(AE19&lt;&gt;" ",VLOOKUP(AE19,$F$40:$H$70,2)," ")</f>
        <v>Federico</v>
      </c>
      <c r="AF22" s="1050"/>
      <c r="AG22" s="1050"/>
      <c r="AH22" s="1050" t="str">
        <f>IF(AH19&lt;&gt;" ",VLOOKUP(AH19,$F$40:$H$70,2)," ")</f>
        <v>Arsenio</v>
      </c>
      <c r="AI22" s="1050"/>
      <c r="AJ22" s="1050"/>
      <c r="AK22" s="1050" t="str">
        <f>IF(AK19&lt;&gt;" ",VLOOKUP(AK19,$F$40:$H$70,2)," ")</f>
        <v>Apolinario</v>
      </c>
      <c r="AL22" s="1050"/>
      <c r="AM22" s="1050"/>
      <c r="AN22" s="1050" t="str">
        <f>IF(AN19&lt;&gt;" ",VLOOKUP(AN19,$F$40:$H$70,2)," ")</f>
        <v>San Lorenzo</v>
      </c>
      <c r="AO22" s="1050"/>
      <c r="AP22" s="1066"/>
    </row>
    <row r="23" spans="2:42" ht="9" customHeight="1">
      <c r="B23" s="350"/>
      <c r="C23" s="349"/>
      <c r="D23" s="349"/>
      <c r="E23" s="349"/>
      <c r="F23" s="349"/>
      <c r="G23" s="349"/>
      <c r="H23" s="349"/>
      <c r="I23" s="349"/>
      <c r="J23" s="349"/>
      <c r="K23" s="349"/>
      <c r="L23" s="349"/>
      <c r="M23" s="349"/>
      <c r="N23" s="349"/>
      <c r="O23" s="349"/>
      <c r="P23" s="349"/>
      <c r="Q23" s="349"/>
      <c r="R23" s="349"/>
      <c r="S23" s="349"/>
      <c r="T23" s="349"/>
      <c r="U23" s="352"/>
      <c r="V23" s="1051">
        <f>año!S18</f>
        <v>22</v>
      </c>
      <c r="W23" s="1052"/>
      <c r="X23" s="1052"/>
      <c r="Y23" s="1052">
        <f>año!T18</f>
        <v>23</v>
      </c>
      <c r="Z23" s="1052"/>
      <c r="AA23" s="1052"/>
      <c r="AB23" s="1052">
        <f>año!U18</f>
        <v>24</v>
      </c>
      <c r="AC23" s="1052"/>
      <c r="AD23" s="1052"/>
      <c r="AE23" s="1052">
        <f>año!V18</f>
        <v>25</v>
      </c>
      <c r="AF23" s="1052"/>
      <c r="AG23" s="1052"/>
      <c r="AH23" s="1052">
        <f>año!W18</f>
        <v>26</v>
      </c>
      <c r="AI23" s="1052"/>
      <c r="AJ23" s="1052"/>
      <c r="AK23" s="1052">
        <f>año!X18</f>
        <v>27</v>
      </c>
      <c r="AL23" s="1052"/>
      <c r="AM23" s="1052"/>
      <c r="AN23" s="1064">
        <f>año!Y18</f>
        <v>28</v>
      </c>
      <c r="AO23" s="1064"/>
      <c r="AP23" s="1065"/>
    </row>
    <row r="24" spans="2:42" ht="9" customHeight="1">
      <c r="B24" s="350"/>
      <c r="C24" s="349"/>
      <c r="D24" s="349"/>
      <c r="E24" s="349"/>
      <c r="F24" s="349"/>
      <c r="G24" s="349"/>
      <c r="H24" s="349"/>
      <c r="I24" s="349"/>
      <c r="J24" s="349"/>
      <c r="K24" s="349"/>
      <c r="L24" s="349"/>
      <c r="M24" s="349"/>
      <c r="N24" s="349"/>
      <c r="O24" s="349"/>
      <c r="P24" s="349"/>
      <c r="Q24" s="349"/>
      <c r="R24" s="349"/>
      <c r="S24" s="349"/>
      <c r="T24" s="349"/>
      <c r="U24" s="352"/>
      <c r="V24" s="1051"/>
      <c r="W24" s="1052"/>
      <c r="X24" s="1052"/>
      <c r="Y24" s="1052"/>
      <c r="Z24" s="1052"/>
      <c r="AA24" s="1052"/>
      <c r="AB24" s="1052"/>
      <c r="AC24" s="1052"/>
      <c r="AD24" s="1052"/>
      <c r="AE24" s="1052"/>
      <c r="AF24" s="1052"/>
      <c r="AG24" s="1052"/>
      <c r="AH24" s="1052"/>
      <c r="AI24" s="1052"/>
      <c r="AJ24" s="1052"/>
      <c r="AK24" s="1052"/>
      <c r="AL24" s="1052"/>
      <c r="AM24" s="1052"/>
      <c r="AN24" s="1064"/>
      <c r="AO24" s="1064"/>
      <c r="AP24" s="1065"/>
    </row>
    <row r="25" spans="2:42" ht="9" customHeight="1">
      <c r="B25" s="350"/>
      <c r="C25" s="349"/>
      <c r="D25" s="349"/>
      <c r="E25" s="349"/>
      <c r="F25" s="349"/>
      <c r="G25" s="349"/>
      <c r="H25" s="349"/>
      <c r="I25" s="349"/>
      <c r="J25" s="349"/>
      <c r="K25" s="349"/>
      <c r="L25" s="349"/>
      <c r="M25" s="349"/>
      <c r="N25" s="349"/>
      <c r="O25" s="349"/>
      <c r="P25" s="349"/>
      <c r="Q25" s="349"/>
      <c r="R25" s="349"/>
      <c r="S25" s="349"/>
      <c r="T25" s="349"/>
      <c r="U25" s="352"/>
      <c r="V25" s="1051"/>
      <c r="W25" s="1052"/>
      <c r="X25" s="1052"/>
      <c r="Y25" s="1052"/>
      <c r="Z25" s="1052"/>
      <c r="AA25" s="1052"/>
      <c r="AB25" s="1052"/>
      <c r="AC25" s="1052"/>
      <c r="AD25" s="1052"/>
      <c r="AE25" s="1052"/>
      <c r="AF25" s="1052"/>
      <c r="AG25" s="1052"/>
      <c r="AH25" s="1052"/>
      <c r="AI25" s="1052"/>
      <c r="AJ25" s="1052"/>
      <c r="AK25" s="1052"/>
      <c r="AL25" s="1052"/>
      <c r="AM25" s="1052"/>
      <c r="AN25" s="1064"/>
      <c r="AO25" s="1064"/>
      <c r="AP25" s="1065"/>
    </row>
    <row r="26" spans="2:42" ht="9" customHeight="1">
      <c r="B26" s="350"/>
      <c r="C26" s="349"/>
      <c r="D26" s="349"/>
      <c r="E26" s="349"/>
      <c r="F26" s="349"/>
      <c r="G26" s="349"/>
      <c r="H26" s="349"/>
      <c r="I26" s="349"/>
      <c r="J26" s="349"/>
      <c r="K26" s="349"/>
      <c r="L26" s="349"/>
      <c r="M26" s="349"/>
      <c r="N26" s="349"/>
      <c r="O26" s="349"/>
      <c r="P26" s="349"/>
      <c r="Q26" s="349"/>
      <c r="R26" s="349"/>
      <c r="S26" s="349"/>
      <c r="T26" s="349"/>
      <c r="U26" s="352"/>
      <c r="V26" s="1049" t="str">
        <f>IF(V23&lt;&gt;" ",VLOOKUP(V23,$F$40:$H$70,2)," ")</f>
        <v>Mª Magdalena</v>
      </c>
      <c r="W26" s="1050"/>
      <c r="X26" s="1050"/>
      <c r="Y26" s="1050" t="str">
        <f>IF(Y23&lt;&gt;" ",VLOOKUP(Y23,$F$40:$H$70,2)," ")</f>
        <v>Brígida</v>
      </c>
      <c r="Z26" s="1050"/>
      <c r="AA26" s="1050"/>
      <c r="AB26" s="1050" t="str">
        <f>IF(AB23&lt;&gt;" ",VLOOKUP(AB23,$F$40:$H$70,2)," ")</f>
        <v>Cristina</v>
      </c>
      <c r="AC26" s="1050"/>
      <c r="AD26" s="1050"/>
      <c r="AE26" s="1050" t="str">
        <f>IF(AE23&lt;&gt;" ",VLOOKUP(AE23,$F$40:$H$70,2)," ")</f>
        <v>Santiago/Galicia</v>
      </c>
      <c r="AF26" s="1050"/>
      <c r="AG26" s="1050"/>
      <c r="AH26" s="1050" t="str">
        <f>IF(AH23&lt;&gt;" ",VLOOKUP(AH23,$F$40:$H$70,2)," ")</f>
        <v>Joaquín y Ana</v>
      </c>
      <c r="AI26" s="1050"/>
      <c r="AJ26" s="1050"/>
      <c r="AK26" s="1050" t="str">
        <f>IF(AK23&lt;&gt;" ",VLOOKUP(AK23,$F$40:$H$70,2)," ")</f>
        <v>Juliana</v>
      </c>
      <c r="AL26" s="1050"/>
      <c r="AM26" s="1050"/>
      <c r="AN26" s="1050" t="str">
        <f>IF(AN23&lt;&gt;" ",VLOOKUP(AN23,$F$40:$H$70,2)," ")</f>
        <v>Cantabria</v>
      </c>
      <c r="AO26" s="1050"/>
      <c r="AP26" s="1066"/>
    </row>
    <row r="27" spans="2:42" ht="9" customHeight="1">
      <c r="B27" s="350"/>
      <c r="C27" s="349"/>
      <c r="D27" s="349"/>
      <c r="E27" s="349"/>
      <c r="F27" s="349"/>
      <c r="G27" s="349"/>
      <c r="H27" s="349"/>
      <c r="I27" s="349"/>
      <c r="J27" s="349"/>
      <c r="K27" s="349"/>
      <c r="L27" s="349"/>
      <c r="M27" s="349"/>
      <c r="N27" s="349"/>
      <c r="O27" s="349"/>
      <c r="P27" s="349"/>
      <c r="Q27" s="349"/>
      <c r="R27" s="349"/>
      <c r="S27" s="349"/>
      <c r="T27" s="349"/>
      <c r="U27" s="352"/>
      <c r="V27" s="1051">
        <f>año!S19</f>
        <v>29</v>
      </c>
      <c r="W27" s="1052"/>
      <c r="X27" s="1052"/>
      <c r="Y27" s="1052">
        <f>año!T19</f>
        <v>30</v>
      </c>
      <c r="Z27" s="1052"/>
      <c r="AA27" s="1052"/>
      <c r="AB27" s="1052">
        <f>año!U19</f>
        <v>31</v>
      </c>
      <c r="AC27" s="1052"/>
      <c r="AD27" s="1052"/>
      <c r="AE27" s="1052" t="str">
        <f>año!V19</f>
        <v xml:space="preserve"> </v>
      </c>
      <c r="AF27" s="1052"/>
      <c r="AG27" s="1052"/>
      <c r="AH27" s="1052" t="str">
        <f>año!W19</f>
        <v xml:space="preserve"> </v>
      </c>
      <c r="AI27" s="1052"/>
      <c r="AJ27" s="1052"/>
      <c r="AK27" s="1052" t="str">
        <f>año!X19</f>
        <v xml:space="preserve"> </v>
      </c>
      <c r="AL27" s="1052"/>
      <c r="AM27" s="1052"/>
      <c r="AN27" s="1064" t="str">
        <f>año!Y19</f>
        <v xml:space="preserve"> </v>
      </c>
      <c r="AO27" s="1064"/>
      <c r="AP27" s="1065"/>
    </row>
    <row r="28" spans="2:42" ht="9" customHeight="1">
      <c r="B28" s="350"/>
      <c r="C28" s="349"/>
      <c r="D28" s="349"/>
      <c r="E28" s="349"/>
      <c r="F28" s="349"/>
      <c r="G28" s="349"/>
      <c r="H28" s="349"/>
      <c r="I28" s="349"/>
      <c r="J28" s="349"/>
      <c r="K28" s="349"/>
      <c r="L28" s="349"/>
      <c r="M28" s="349"/>
      <c r="N28" s="349"/>
      <c r="O28" s="349"/>
      <c r="P28" s="349"/>
      <c r="Q28" s="349"/>
      <c r="R28" s="349"/>
      <c r="S28" s="349"/>
      <c r="T28" s="349"/>
      <c r="U28" s="352"/>
      <c r="V28" s="1051"/>
      <c r="W28" s="1052"/>
      <c r="X28" s="1052"/>
      <c r="Y28" s="1052"/>
      <c r="Z28" s="1052"/>
      <c r="AA28" s="1052"/>
      <c r="AB28" s="1052"/>
      <c r="AC28" s="1052"/>
      <c r="AD28" s="1052"/>
      <c r="AE28" s="1052"/>
      <c r="AF28" s="1052"/>
      <c r="AG28" s="1052"/>
      <c r="AH28" s="1052"/>
      <c r="AI28" s="1052"/>
      <c r="AJ28" s="1052"/>
      <c r="AK28" s="1052"/>
      <c r="AL28" s="1052"/>
      <c r="AM28" s="1052"/>
      <c r="AN28" s="1064"/>
      <c r="AO28" s="1064"/>
      <c r="AP28" s="1065"/>
    </row>
    <row r="29" spans="2:42" ht="9" customHeight="1">
      <c r="B29" s="350"/>
      <c r="C29" s="349"/>
      <c r="D29" s="349"/>
      <c r="E29" s="349"/>
      <c r="F29" s="349"/>
      <c r="G29" s="349"/>
      <c r="H29" s="349"/>
      <c r="I29" s="349"/>
      <c r="J29" s="349"/>
      <c r="K29" s="349"/>
      <c r="L29" s="349"/>
      <c r="M29" s="349"/>
      <c r="N29" s="349"/>
      <c r="O29" s="349"/>
      <c r="P29" s="349"/>
      <c r="Q29" s="349"/>
      <c r="R29" s="349"/>
      <c r="S29" s="349"/>
      <c r="T29" s="349"/>
      <c r="U29" s="352"/>
      <c r="V29" s="1051"/>
      <c r="W29" s="1052"/>
      <c r="X29" s="1052"/>
      <c r="Y29" s="1052"/>
      <c r="Z29" s="1052"/>
      <c r="AA29" s="1052"/>
      <c r="AB29" s="1052"/>
      <c r="AC29" s="1052"/>
      <c r="AD29" s="1052"/>
      <c r="AE29" s="1052"/>
      <c r="AF29" s="1052"/>
      <c r="AG29" s="1052"/>
      <c r="AH29" s="1052"/>
      <c r="AI29" s="1052"/>
      <c r="AJ29" s="1052"/>
      <c r="AK29" s="1052"/>
      <c r="AL29" s="1052"/>
      <c r="AM29" s="1052"/>
      <c r="AN29" s="1064"/>
      <c r="AO29" s="1064"/>
      <c r="AP29" s="1065"/>
    </row>
    <row r="30" spans="2:42" ht="9" customHeight="1">
      <c r="B30" s="1140" t="s">
        <v>998</v>
      </c>
      <c r="C30" s="1141"/>
      <c r="D30" s="1141"/>
      <c r="E30" s="1141"/>
      <c r="F30" s="1141"/>
      <c r="G30" s="1141"/>
      <c r="H30" s="1141"/>
      <c r="I30" s="1141"/>
      <c r="J30" s="1141"/>
      <c r="K30" s="1141"/>
      <c r="L30" s="1141"/>
      <c r="M30" s="1141"/>
      <c r="N30" s="1141"/>
      <c r="O30" s="1141"/>
      <c r="P30" s="1141"/>
      <c r="Q30" s="1141"/>
      <c r="R30" s="1141"/>
      <c r="S30" s="1141"/>
      <c r="T30" s="1141"/>
      <c r="U30" s="1142"/>
      <c r="V30" s="1049" t="str">
        <f>IF(V27&lt;&gt;" ",VLOOKUP(V27,$F$40:$H$70,2)," ")</f>
        <v>Marta</v>
      </c>
      <c r="W30" s="1050"/>
      <c r="X30" s="1050"/>
      <c r="Y30" s="1050" t="str">
        <f>IF(Y27&lt;&gt;" ",VLOOKUP(Y27,$F$40:$H$70,2)," ")</f>
        <v>Abdón y Senén</v>
      </c>
      <c r="Z30" s="1050"/>
      <c r="AA30" s="1050"/>
      <c r="AB30" s="1050" t="str">
        <f>IF(AB27&lt;&gt;" ",VLOOKUP(AB27,$F$40:$H$70,2)," ")</f>
        <v>Ignacio</v>
      </c>
      <c r="AC30" s="1050"/>
      <c r="AD30" s="1050"/>
      <c r="AE30" s="1050" t="str">
        <f>IF(AE27&lt;&gt;" ",VLOOKUP(AE27,$F$40:$H$70,2)," ")</f>
        <v xml:space="preserve"> </v>
      </c>
      <c r="AF30" s="1050"/>
      <c r="AG30" s="1050"/>
      <c r="AH30" s="1050" t="str">
        <f>IF(AH27&lt;&gt;" ",VLOOKUP(AH27,$F$40:$H$70,2)," ")</f>
        <v xml:space="preserve"> </v>
      </c>
      <c r="AI30" s="1050"/>
      <c r="AJ30" s="1050"/>
      <c r="AK30" s="1050" t="str">
        <f>IF(AK27&lt;&gt;" ",VLOOKUP(AK27,$F$40:$H$70,2)," ")</f>
        <v xml:space="preserve"> </v>
      </c>
      <c r="AL30" s="1050"/>
      <c r="AM30" s="1050"/>
      <c r="AN30" s="1050" t="str">
        <f>IF(AN27&lt;&gt;" ",VLOOKUP(AN27,$F$40:$H$70,2)," ")</f>
        <v xml:space="preserve"> </v>
      </c>
      <c r="AO30" s="1050"/>
      <c r="AP30" s="1066"/>
    </row>
    <row r="31" spans="2:42" ht="10.5" customHeight="1">
      <c r="B31" s="1140"/>
      <c r="C31" s="1141"/>
      <c r="D31" s="1141"/>
      <c r="E31" s="1141"/>
      <c r="F31" s="1141"/>
      <c r="G31" s="1141"/>
      <c r="H31" s="1141"/>
      <c r="I31" s="1141"/>
      <c r="J31" s="1141"/>
      <c r="K31" s="1141"/>
      <c r="L31" s="1141"/>
      <c r="M31" s="1141"/>
      <c r="N31" s="1141"/>
      <c r="O31" s="1141"/>
      <c r="P31" s="1141"/>
      <c r="Q31" s="1141"/>
      <c r="R31" s="1141"/>
      <c r="S31" s="1141"/>
      <c r="T31" s="1141"/>
      <c r="U31" s="1142"/>
      <c r="V31" s="1051" t="str">
        <f>año!S20</f>
        <v xml:space="preserve"> </v>
      </c>
      <c r="W31" s="1052"/>
      <c r="X31" s="1052"/>
      <c r="Y31" s="1052" t="str">
        <f>año!T20</f>
        <v xml:space="preserve"> </v>
      </c>
      <c r="Z31" s="1052"/>
      <c r="AA31" s="1052"/>
      <c r="AB31" s="1052" t="str">
        <f>año!U20</f>
        <v xml:space="preserve"> </v>
      </c>
      <c r="AC31" s="1052"/>
      <c r="AD31" s="1052"/>
      <c r="AE31" s="189"/>
      <c r="AF31" s="194"/>
      <c r="AG31" s="192"/>
      <c r="AH31" s="194"/>
      <c r="AI31" s="194"/>
      <c r="AJ31" s="192"/>
      <c r="AK31" s="194"/>
      <c r="AL31" s="194"/>
      <c r="AM31" s="192"/>
      <c r="AN31" s="193"/>
      <c r="AO31" s="194"/>
      <c r="AP31" s="192"/>
    </row>
    <row r="32" spans="2:42" ht="10.5" customHeight="1">
      <c r="B32" s="1140"/>
      <c r="C32" s="1143"/>
      <c r="D32" s="1143"/>
      <c r="E32" s="1143"/>
      <c r="F32" s="1143"/>
      <c r="G32" s="1143"/>
      <c r="H32" s="1143"/>
      <c r="I32" s="1143"/>
      <c r="J32" s="1143"/>
      <c r="K32" s="1143"/>
      <c r="L32" s="1143"/>
      <c r="M32" s="1143"/>
      <c r="N32" s="1143"/>
      <c r="O32" s="1143"/>
      <c r="P32" s="1143"/>
      <c r="Q32" s="1143"/>
      <c r="R32" s="1143"/>
      <c r="S32" s="1143"/>
      <c r="T32" s="1143"/>
      <c r="U32" s="1142"/>
      <c r="V32" s="1051"/>
      <c r="W32" s="1052"/>
      <c r="X32" s="1052"/>
      <c r="Y32" s="1052"/>
      <c r="Z32" s="1052"/>
      <c r="AA32" s="1052"/>
      <c r="AB32" s="1052"/>
      <c r="AC32" s="1052"/>
      <c r="AD32" s="1052"/>
      <c r="AE32" s="189"/>
      <c r="AF32" s="194"/>
      <c r="AG32" s="192" t="s">
        <v>247</v>
      </c>
      <c r="AH32" s="194"/>
      <c r="AI32" s="194"/>
      <c r="AJ32" s="192" t="s">
        <v>247</v>
      </c>
      <c r="AK32" s="194"/>
      <c r="AL32" s="194"/>
      <c r="AM32" s="192" t="s">
        <v>247</v>
      </c>
      <c r="AN32" s="194"/>
      <c r="AO32" s="194"/>
      <c r="AP32" s="192" t="s">
        <v>247</v>
      </c>
    </row>
    <row r="33" spans="2:49" ht="10.5" customHeight="1">
      <c r="B33" s="1144"/>
      <c r="C33" s="1145"/>
      <c r="D33" s="1145"/>
      <c r="E33" s="1145"/>
      <c r="F33" s="1145"/>
      <c r="G33" s="1145"/>
      <c r="H33" s="1145"/>
      <c r="I33" s="1145"/>
      <c r="J33" s="1145"/>
      <c r="K33" s="1145"/>
      <c r="L33" s="1145"/>
      <c r="M33" s="1145"/>
      <c r="N33" s="1145"/>
      <c r="O33" s="1145"/>
      <c r="P33" s="1145"/>
      <c r="Q33" s="1145"/>
      <c r="R33" s="1145"/>
      <c r="S33" s="1145"/>
      <c r="T33" s="1145"/>
      <c r="U33" s="1146"/>
      <c r="V33" s="1051"/>
      <c r="W33" s="1052"/>
      <c r="X33" s="1052"/>
      <c r="Y33" s="1052"/>
      <c r="Z33" s="1052"/>
      <c r="AA33" s="1052"/>
      <c r="AB33" s="1052"/>
      <c r="AC33" s="1052"/>
      <c r="AD33" s="1052"/>
      <c r="AE33" s="189"/>
      <c r="AF33" s="1067">
        <f>luna!$O$69</f>
        <v>22</v>
      </c>
      <c r="AG33" s="1068"/>
      <c r="AH33" s="195"/>
      <c r="AI33" s="1073">
        <f>luna!$R$69</f>
        <v>28</v>
      </c>
      <c r="AJ33" s="1068"/>
      <c r="AK33" s="195"/>
      <c r="AL33" s="1073">
        <f>luna!$Q$69</f>
        <v>7</v>
      </c>
      <c r="AM33" s="1068"/>
      <c r="AN33" s="195"/>
      <c r="AO33" s="1067">
        <f>luna!$P$69</f>
        <v>14</v>
      </c>
      <c r="AP33" s="1068"/>
    </row>
    <row r="34" spans="2:49" ht="9" customHeight="1" thickBot="1">
      <c r="B34" s="179"/>
      <c r="C34" s="180"/>
      <c r="D34" s="180"/>
      <c r="E34" s="180"/>
      <c r="F34" s="180"/>
      <c r="G34" s="180"/>
      <c r="H34" s="357"/>
      <c r="I34" s="180"/>
      <c r="J34" s="180"/>
      <c r="K34" s="180"/>
      <c r="L34" s="180"/>
      <c r="M34" s="180"/>
      <c r="N34" s="180"/>
      <c r="O34" s="180"/>
      <c r="P34" s="180"/>
      <c r="Q34" s="180"/>
      <c r="R34" s="180"/>
      <c r="S34" s="180"/>
      <c r="T34" s="180"/>
      <c r="U34" s="181"/>
      <c r="V34" s="1049" t="str">
        <f>IF(V31&lt;&gt;" ",VLOOKUP(V31,$F$40:$H$70,2)," ")</f>
        <v xml:space="preserve"> </v>
      </c>
      <c r="W34" s="1050"/>
      <c r="X34" s="1050"/>
      <c r="Y34" s="1050" t="str">
        <f>IF(Y31&lt;&gt;" ",VLOOKUP(Y31,$F$40:$H$70,2)," ")</f>
        <v xml:space="preserve"> </v>
      </c>
      <c r="Z34" s="1050"/>
      <c r="AA34" s="1050"/>
      <c r="AB34" s="182"/>
      <c r="AC34" s="182"/>
      <c r="AD34" s="182"/>
      <c r="AE34" s="1078" t="s">
        <v>597</v>
      </c>
      <c r="AF34" s="1079"/>
      <c r="AG34" s="1080"/>
      <c r="AH34" s="1081" t="s">
        <v>598</v>
      </c>
      <c r="AI34" s="1081"/>
      <c r="AJ34" s="1081"/>
      <c r="AK34" s="1081" t="s">
        <v>599</v>
      </c>
      <c r="AL34" s="1081"/>
      <c r="AM34" s="1081"/>
      <c r="AN34" s="1081" t="s">
        <v>600</v>
      </c>
      <c r="AO34" s="1081"/>
      <c r="AP34" s="1081"/>
    </row>
    <row r="35" spans="2:49" ht="13.8" thickBot="1">
      <c r="B35" s="629">
        <f>JUNIO!$B$36</f>
        <v>2</v>
      </c>
      <c r="C35" s="406"/>
      <c r="D35" s="408" t="s">
        <v>73</v>
      </c>
      <c r="E35" s="406"/>
      <c r="F35" s="406"/>
      <c r="G35" s="406"/>
      <c r="H35" s="406"/>
      <c r="I35" s="1139"/>
      <c r="J35" s="1139"/>
      <c r="K35" s="1139"/>
      <c r="L35" s="1139"/>
      <c r="M35" s="410">
        <v>15</v>
      </c>
      <c r="N35" s="406" t="s">
        <v>974</v>
      </c>
      <c r="O35" s="406"/>
      <c r="P35" s="406"/>
      <c r="Q35" s="406"/>
      <c r="R35" s="715">
        <v>8</v>
      </c>
      <c r="S35" s="406" t="s">
        <v>978</v>
      </c>
      <c r="T35" s="406"/>
      <c r="U35" s="406"/>
      <c r="V35" s="163"/>
      <c r="W35" s="163"/>
      <c r="X35" s="163"/>
      <c r="Y35" s="163"/>
      <c r="Z35" s="163"/>
      <c r="AA35" s="163"/>
      <c r="AB35" s="163"/>
      <c r="AC35" s="163"/>
      <c r="AD35" s="163"/>
      <c r="AE35" s="163"/>
      <c r="AF35" s="163"/>
      <c r="AG35" s="163"/>
      <c r="AH35" s="163"/>
      <c r="AI35" s="163"/>
      <c r="AJ35" s="163"/>
      <c r="AK35" s="163"/>
      <c r="AL35" s="163"/>
      <c r="AM35" s="163"/>
      <c r="AN35" s="163"/>
      <c r="AO35" s="163"/>
      <c r="AP35" s="164"/>
    </row>
    <row r="36" spans="2:49" ht="16.2" thickBot="1">
      <c r="B36" s="627">
        <v>26</v>
      </c>
      <c r="C36" s="408"/>
      <c r="D36" s="408" t="s">
        <v>746</v>
      </c>
      <c r="E36" s="408"/>
      <c r="F36" s="408"/>
      <c r="G36" s="408"/>
      <c r="H36" s="412"/>
      <c r="I36" s="412"/>
      <c r="J36" s="408"/>
      <c r="K36" s="408"/>
      <c r="L36" s="408"/>
      <c r="M36" s="630">
        <f>AM4</f>
        <v>8</v>
      </c>
      <c r="N36" s="408" t="s">
        <v>975</v>
      </c>
      <c r="O36" s="408"/>
      <c r="P36" s="408"/>
      <c r="Q36" s="408"/>
      <c r="R36" s="715">
        <v>24</v>
      </c>
      <c r="S36" s="408" t="s">
        <v>1006</v>
      </c>
      <c r="T36" s="408"/>
      <c r="U36" s="408"/>
      <c r="V36" s="165"/>
      <c r="W36" s="165"/>
      <c r="X36" s="165"/>
      <c r="Y36" s="165"/>
      <c r="Z36" s="165"/>
      <c r="AA36" s="1089" t="s">
        <v>412</v>
      </c>
      <c r="AB36" s="1090"/>
      <c r="AC36" s="1090"/>
      <c r="AD36" s="1090"/>
      <c r="AE36" s="1090"/>
      <c r="AF36" s="1090"/>
      <c r="AG36" s="1091"/>
      <c r="AH36" s="165"/>
      <c r="AI36" s="1092" t="s">
        <v>411</v>
      </c>
      <c r="AJ36" s="1093"/>
      <c r="AK36" s="1093"/>
      <c r="AL36" s="1093"/>
      <c r="AM36" s="1093"/>
      <c r="AN36" s="1093"/>
      <c r="AO36" s="1094"/>
      <c r="AP36" s="166"/>
    </row>
    <row r="37" spans="2:49">
      <c r="B37" s="628">
        <f>JUNIO!B37</f>
        <v>23</v>
      </c>
      <c r="C37" s="1137" t="str">
        <f>JUNIO!C37</f>
        <v>Cor de Jesús</v>
      </c>
      <c r="D37" s="1075"/>
      <c r="E37" s="1075"/>
      <c r="F37" s="1075"/>
      <c r="G37" s="617"/>
      <c r="H37" s="617"/>
      <c r="I37" s="617"/>
      <c r="J37" s="617"/>
      <c r="K37" s="617"/>
      <c r="L37" s="617"/>
      <c r="M37" s="617"/>
      <c r="N37" s="617"/>
      <c r="O37" s="617"/>
      <c r="P37" s="617"/>
      <c r="Q37" s="617"/>
      <c r="R37" s="617"/>
      <c r="S37" s="617"/>
      <c r="T37" s="617"/>
      <c r="U37" s="617"/>
      <c r="V37" s="168"/>
      <c r="W37" s="168"/>
      <c r="X37" s="168"/>
      <c r="Y37" s="168"/>
      <c r="Z37" s="168"/>
      <c r="AA37" s="168"/>
      <c r="AB37" s="168"/>
      <c r="AC37" s="168"/>
      <c r="AD37" s="168"/>
      <c r="AE37" s="168"/>
      <c r="AF37" s="168"/>
      <c r="AG37" s="168"/>
      <c r="AH37" s="168"/>
      <c r="AI37" s="168"/>
      <c r="AJ37" s="168"/>
      <c r="AK37" s="168"/>
      <c r="AL37" s="168"/>
      <c r="AM37" s="168"/>
      <c r="AN37" s="168"/>
      <c r="AO37" s="168"/>
      <c r="AP37" s="169"/>
    </row>
    <row r="38" spans="2:49" hidden="1">
      <c r="N38">
        <f>MARZO!M38</f>
        <v>8</v>
      </c>
      <c r="O38">
        <f>MARZO!N38</f>
        <v>4</v>
      </c>
      <c r="P38">
        <f>MARZO!O38</f>
        <v>0</v>
      </c>
      <c r="Q38" t="str">
        <f>MARZO!P38</f>
        <v>Dijous Sant</v>
      </c>
      <c r="R38">
        <f>MARZO!Q38</f>
        <v>0</v>
      </c>
      <c r="U38" s="1106">
        <f>calendario!$H$59</f>
        <v>45431</v>
      </c>
      <c r="V38" s="1106"/>
      <c r="W38" s="1106"/>
      <c r="X38" s="1106"/>
      <c r="AD38">
        <f>FEBRERO!AI38</f>
        <v>31</v>
      </c>
      <c r="AE38">
        <f>FEBRERO!AJ38</f>
        <v>29</v>
      </c>
      <c r="AF38">
        <f>FEBRERO!AK38</f>
        <v>0</v>
      </c>
      <c r="AG38" t="str">
        <f>FEBRERO!AL38</f>
        <v>Pasqua</v>
      </c>
      <c r="AI38">
        <f>FEBRERO!AN38</f>
        <v>0</v>
      </c>
      <c r="AJ38">
        <f>FEBRERO!AO38</f>
        <v>14</v>
      </c>
      <c r="AM38">
        <f>FEBRERO!$AO$38</f>
        <v>14</v>
      </c>
    </row>
    <row r="39" spans="2:49" hidden="1">
      <c r="N39" t="str">
        <f>MARZO!M39</f>
        <v>NO</v>
      </c>
      <c r="O39">
        <f>MARZO!N39</f>
        <v>0</v>
      </c>
      <c r="P39">
        <f>MARZO!O39</f>
        <v>0</v>
      </c>
      <c r="Q39">
        <f>MARZO!P39</f>
        <v>0</v>
      </c>
      <c r="R39">
        <f>MARZO!Q39</f>
        <v>0</v>
      </c>
      <c r="U39" s="32">
        <f>DAY(U38)</f>
        <v>19</v>
      </c>
      <c r="V39" s="32">
        <f>MONTH(U38)</f>
        <v>5</v>
      </c>
      <c r="W39" s="31"/>
      <c r="X39" s="31"/>
      <c r="Z39" s="106">
        <f>AGOSTO!AA38</f>
        <v>8</v>
      </c>
      <c r="AD39" t="str">
        <f>FEBRERO!AI39</f>
        <v>NO</v>
      </c>
      <c r="AG39" s="1134">
        <f>FEBRERO!AL39</f>
        <v>45382</v>
      </c>
      <c r="AH39" s="1134"/>
    </row>
    <row r="40" spans="2:49" ht="14.4" hidden="1">
      <c r="F40" s="175">
        <v>1</v>
      </c>
      <c r="G40" s="215" t="s">
        <v>958</v>
      </c>
      <c r="N40">
        <f>MARZO!M40</f>
        <v>8</v>
      </c>
      <c r="O40">
        <f>MARZO!N40</f>
        <v>0</v>
      </c>
      <c r="P40">
        <f>MARZO!O40</f>
        <v>0</v>
      </c>
      <c r="Q40">
        <f>MARZO!P40</f>
        <v>0</v>
      </c>
      <c r="R40">
        <f>MARZO!Q40</f>
        <v>0</v>
      </c>
      <c r="U40" s="32">
        <f>IF(V39=5,U39,"NO")</f>
        <v>19</v>
      </c>
      <c r="V40" s="32"/>
      <c r="W40" s="30"/>
      <c r="X40" s="30"/>
      <c r="Z40" s="106">
        <f>año!$AP$33</f>
        <v>18</v>
      </c>
      <c r="AW40" s="332"/>
    </row>
    <row r="41" spans="2:49" ht="14.4" hidden="1">
      <c r="F41" s="175">
        <v>2</v>
      </c>
      <c r="G41" s="175" t="s">
        <v>481</v>
      </c>
      <c r="N41" t="str">
        <f>MARZO!M41</f>
        <v>NO</v>
      </c>
      <c r="O41">
        <f>MARZO!N41</f>
        <v>0</v>
      </c>
      <c r="P41">
        <f>MARZO!O41</f>
        <v>0</v>
      </c>
      <c r="Q41">
        <f>MARZO!P41</f>
        <v>0</v>
      </c>
      <c r="R41">
        <f>MARZO!Q41</f>
        <v>0</v>
      </c>
      <c r="U41" s="32" t="str">
        <f>IF(V39=6,U39,"NO")</f>
        <v>NO</v>
      </c>
      <c r="V41" s="32"/>
      <c r="W41" s="30"/>
      <c r="X41" s="30"/>
      <c r="AW41" s="332"/>
    </row>
    <row r="42" spans="2:49" ht="14.4" hidden="1">
      <c r="F42" s="175">
        <v>3</v>
      </c>
      <c r="G42" s="175" t="s">
        <v>654</v>
      </c>
      <c r="AW42" s="332"/>
    </row>
    <row r="43" spans="2:49" ht="15" hidden="1" thickBot="1">
      <c r="F43" s="175">
        <v>4</v>
      </c>
      <c r="G43" s="175" t="s">
        <v>502</v>
      </c>
      <c r="U43" s="175" t="s">
        <v>733</v>
      </c>
      <c r="V43" s="175"/>
      <c r="Z43" s="175" t="s">
        <v>737</v>
      </c>
      <c r="AD43" s="175" t="s">
        <v>731</v>
      </c>
      <c r="AW43" s="332"/>
    </row>
    <row r="44" spans="2:49" ht="15.6" hidden="1" thickTop="1" thickBot="1">
      <c r="F44" s="175">
        <v>5</v>
      </c>
      <c r="G44" s="215" t="s">
        <v>959</v>
      </c>
      <c r="V44" s="187">
        <f>año!$I$34</f>
        <v>45466</v>
      </c>
      <c r="Z44" s="185">
        <f>año!$F$34</f>
        <v>2</v>
      </c>
      <c r="AD44" s="184">
        <f>año!$U$32</f>
        <v>12</v>
      </c>
      <c r="AW44" s="332"/>
    </row>
    <row r="45" spans="2:49" ht="14.4" hidden="1">
      <c r="F45" s="175">
        <v>6</v>
      </c>
      <c r="G45" s="175" t="s">
        <v>655</v>
      </c>
      <c r="AW45" s="332"/>
    </row>
    <row r="46" spans="2:49" ht="14.4" hidden="1">
      <c r="F46" s="175">
        <v>7</v>
      </c>
      <c r="G46" s="175" t="s">
        <v>503</v>
      </c>
      <c r="U46" t="str">
        <f>calendario!AA65</f>
        <v>JOVENTUT</v>
      </c>
      <c r="AC46">
        <f>año!AI30</f>
        <v>12</v>
      </c>
      <c r="AW46" s="332"/>
    </row>
    <row r="47" spans="2:49" ht="14.4" hidden="1">
      <c r="F47" s="175">
        <v>8</v>
      </c>
      <c r="G47" s="175" t="s">
        <v>656</v>
      </c>
      <c r="U47">
        <f>calendario!AA66</f>
        <v>0</v>
      </c>
      <c r="AC47" t="str">
        <f>año!AI31</f>
        <v>NO</v>
      </c>
      <c r="AD47" s="1138">
        <f>año!AJ31</f>
        <v>45424</v>
      </c>
      <c r="AE47" s="1138"/>
      <c r="AW47" s="332"/>
    </row>
    <row r="48" spans="2:49" ht="14.4" hidden="1">
      <c r="F48" s="175">
        <v>9</v>
      </c>
      <c r="G48" s="175" t="s">
        <v>504</v>
      </c>
      <c r="U48">
        <f>calendario!AA67</f>
        <v>12</v>
      </c>
      <c r="AW48" s="332"/>
    </row>
    <row r="49" spans="6:49" ht="14.4" hidden="1">
      <c r="F49" s="175">
        <v>10</v>
      </c>
      <c r="G49" s="175" t="s">
        <v>505</v>
      </c>
      <c r="U49">
        <f>calendario!AA68</f>
        <v>13</v>
      </c>
      <c r="Z49" s="251" t="s">
        <v>869</v>
      </c>
      <c r="AD49" s="219">
        <f>calendario!$AG$63</f>
        <v>8</v>
      </c>
      <c r="AW49" s="332"/>
    </row>
    <row r="50" spans="6:49" ht="14.4" hidden="1">
      <c r="F50" s="175">
        <v>11</v>
      </c>
      <c r="G50" s="175" t="s">
        <v>657</v>
      </c>
      <c r="Z50" s="251" t="s">
        <v>870</v>
      </c>
      <c r="AD50" s="219">
        <f>calendario!$AG$67</f>
        <v>18</v>
      </c>
      <c r="AW50" s="332"/>
    </row>
    <row r="51" spans="6:49" ht="14.4" hidden="1">
      <c r="F51" s="175">
        <v>12</v>
      </c>
      <c r="G51" s="175" t="s">
        <v>658</v>
      </c>
      <c r="AW51" s="332"/>
    </row>
    <row r="52" spans="6:49" ht="14.4" hidden="1">
      <c r="F52" s="175">
        <v>13</v>
      </c>
      <c r="G52" s="175" t="s">
        <v>506</v>
      </c>
      <c r="AW52" s="332"/>
    </row>
    <row r="53" spans="6:49" ht="14.4" hidden="1">
      <c r="F53" s="175">
        <v>14</v>
      </c>
      <c r="G53" s="175" t="s">
        <v>507</v>
      </c>
      <c r="AW53" s="332"/>
    </row>
    <row r="54" spans="6:49" ht="14.4" hidden="1">
      <c r="F54" s="175">
        <v>15</v>
      </c>
      <c r="G54" s="175" t="s">
        <v>659</v>
      </c>
      <c r="AW54" s="332"/>
    </row>
    <row r="55" spans="6:49" ht="14.4" hidden="1">
      <c r="F55" s="175">
        <v>16</v>
      </c>
      <c r="G55" s="175" t="s">
        <v>508</v>
      </c>
      <c r="AW55" s="332"/>
    </row>
    <row r="56" spans="6:49" ht="14.4" hidden="1">
      <c r="F56" s="175">
        <v>17</v>
      </c>
      <c r="G56" s="175" t="s">
        <v>660</v>
      </c>
      <c r="AW56" s="332"/>
    </row>
    <row r="57" spans="6:49" ht="14.4" hidden="1">
      <c r="F57" s="175">
        <v>18</v>
      </c>
      <c r="G57" s="175" t="s">
        <v>509</v>
      </c>
      <c r="AW57" s="332"/>
    </row>
    <row r="58" spans="6:49" ht="14.4" hidden="1">
      <c r="F58" s="175">
        <v>19</v>
      </c>
      <c r="G58" s="175" t="s">
        <v>661</v>
      </c>
      <c r="AW58" s="332"/>
    </row>
    <row r="59" spans="6:49" ht="14.4" hidden="1">
      <c r="F59" s="175">
        <v>20</v>
      </c>
      <c r="G59" s="175" t="s">
        <v>662</v>
      </c>
      <c r="AW59" s="332"/>
    </row>
    <row r="60" spans="6:49" ht="14.4" hidden="1">
      <c r="F60" s="175">
        <v>21</v>
      </c>
      <c r="G60" s="175" t="s">
        <v>663</v>
      </c>
      <c r="AW60" s="332"/>
    </row>
    <row r="61" spans="6:49" ht="14.4" hidden="1">
      <c r="F61" s="175">
        <v>22</v>
      </c>
      <c r="G61" s="175" t="s">
        <v>510</v>
      </c>
      <c r="AW61" s="332"/>
    </row>
    <row r="62" spans="6:49" ht="14.4" hidden="1">
      <c r="F62" s="175">
        <v>23</v>
      </c>
      <c r="G62" s="175" t="s">
        <v>664</v>
      </c>
      <c r="AW62" s="332"/>
    </row>
    <row r="63" spans="6:49" ht="14.4" hidden="1">
      <c r="F63" s="175">
        <v>24</v>
      </c>
      <c r="G63" s="175" t="s">
        <v>511</v>
      </c>
      <c r="AW63" s="332"/>
    </row>
    <row r="64" spans="6:49" ht="14.4" hidden="1">
      <c r="F64" s="175">
        <v>25</v>
      </c>
      <c r="G64" s="215" t="s">
        <v>873</v>
      </c>
      <c r="AW64" s="332"/>
    </row>
    <row r="65" spans="6:49" ht="14.4" hidden="1">
      <c r="F65" s="175">
        <v>26</v>
      </c>
      <c r="G65" s="175" t="s">
        <v>512</v>
      </c>
      <c r="AW65" s="332"/>
    </row>
    <row r="66" spans="6:49" ht="14.4" hidden="1">
      <c r="F66" s="175">
        <v>27</v>
      </c>
      <c r="G66" s="175" t="s">
        <v>665</v>
      </c>
      <c r="AW66" s="332"/>
    </row>
    <row r="67" spans="6:49" ht="14.4" hidden="1">
      <c r="F67" s="175">
        <v>28</v>
      </c>
      <c r="G67" s="215" t="s">
        <v>872</v>
      </c>
      <c r="AW67" s="332"/>
    </row>
    <row r="68" spans="6:49" ht="14.4" hidden="1">
      <c r="F68" s="175">
        <v>29</v>
      </c>
      <c r="G68" s="175" t="s">
        <v>513</v>
      </c>
      <c r="AW68" s="332"/>
    </row>
    <row r="69" spans="6:49" ht="14.4" hidden="1">
      <c r="F69" s="175">
        <v>30</v>
      </c>
      <c r="G69" s="175" t="s">
        <v>514</v>
      </c>
      <c r="AW69" s="332"/>
    </row>
    <row r="70" spans="6:49" ht="14.4" hidden="1">
      <c r="F70" s="175">
        <v>31</v>
      </c>
      <c r="G70" s="175" t="s">
        <v>561</v>
      </c>
      <c r="AW70" s="332"/>
    </row>
  </sheetData>
  <customSheetViews>
    <customSheetView guid="{93FD35E9-1E2C-4BB9-BB5F-2E73C17EC4AF}" scale="115" showGridLines="0" showRowCol="0" outlineSymbols="0" zeroValues="0" hiddenRows="1">
      <selection activeCell="V1" sqref="V1:Z1"/>
      <pageMargins left="0.75" right="0.75" top="1" bottom="1" header="0" footer="0"/>
      <pageSetup paperSize="9" orientation="portrait" horizontalDpi="300" verticalDpi="300" r:id="rId1"/>
      <headerFooter alignWithMargins="0"/>
    </customSheetView>
  </customSheetViews>
  <mergeCells count="105">
    <mergeCell ref="I35:L35"/>
    <mergeCell ref="U38:X38"/>
    <mergeCell ref="AL33:AM33"/>
    <mergeCell ref="AK34:AM34"/>
    <mergeCell ref="AE30:AG30"/>
    <mergeCell ref="AE22:AG22"/>
    <mergeCell ref="AH27:AJ29"/>
    <mergeCell ref="V22:X22"/>
    <mergeCell ref="V30:X30"/>
    <mergeCell ref="Y30:AA30"/>
    <mergeCell ref="AH22:AJ22"/>
    <mergeCell ref="AK30:AM30"/>
    <mergeCell ref="AH30:AJ30"/>
    <mergeCell ref="V34:X34"/>
    <mergeCell ref="Y34:AA34"/>
    <mergeCell ref="V26:X26"/>
    <mergeCell ref="AH23:AJ25"/>
    <mergeCell ref="Y23:AA25"/>
    <mergeCell ref="AB23:AD25"/>
    <mergeCell ref="AE23:AG25"/>
    <mergeCell ref="Y22:AA22"/>
    <mergeCell ref="AB22:AD22"/>
    <mergeCell ref="AK22:AM22"/>
    <mergeCell ref="B30:U33"/>
    <mergeCell ref="C37:F37"/>
    <mergeCell ref="AD47:AE47"/>
    <mergeCell ref="AE34:AG34"/>
    <mergeCell ref="AH34:AJ34"/>
    <mergeCell ref="AI33:AJ33"/>
    <mergeCell ref="AK26:AM26"/>
    <mergeCell ref="AN26:AP26"/>
    <mergeCell ref="AF33:AG33"/>
    <mergeCell ref="AB30:AD30"/>
    <mergeCell ref="AB27:AD29"/>
    <mergeCell ref="AE27:AG29"/>
    <mergeCell ref="AO33:AP33"/>
    <mergeCell ref="AN30:AP30"/>
    <mergeCell ref="AN34:AP34"/>
    <mergeCell ref="AI36:AO36"/>
    <mergeCell ref="AA36:AG36"/>
    <mergeCell ref="Y26:AA26"/>
    <mergeCell ref="AB26:AD26"/>
    <mergeCell ref="AE26:AG26"/>
    <mergeCell ref="AH26:AJ26"/>
    <mergeCell ref="AK27:AM29"/>
    <mergeCell ref="AN27:AP29"/>
    <mergeCell ref="Y31:AA33"/>
    <mergeCell ref="AB31:AD33"/>
    <mergeCell ref="AG39:AH39"/>
    <mergeCell ref="AN19:AP21"/>
    <mergeCell ref="V18:X18"/>
    <mergeCell ref="Y18:AA18"/>
    <mergeCell ref="AB18:AD18"/>
    <mergeCell ref="AE18:AG18"/>
    <mergeCell ref="AH18:AJ18"/>
    <mergeCell ref="AK18:AM18"/>
    <mergeCell ref="AN18:AP18"/>
    <mergeCell ref="V31:X33"/>
    <mergeCell ref="AO1:AP1"/>
    <mergeCell ref="AD2:AH4"/>
    <mergeCell ref="AD5:AH7"/>
    <mergeCell ref="AN10:AP10"/>
    <mergeCell ref="AA1:AB1"/>
    <mergeCell ref="AJ1:AN1"/>
    <mergeCell ref="AN11:AP13"/>
    <mergeCell ref="V27:X29"/>
    <mergeCell ref="Y27:AA29"/>
    <mergeCell ref="V1:Z1"/>
    <mergeCell ref="AH14:AJ14"/>
    <mergeCell ref="AK14:AM14"/>
    <mergeCell ref="AB14:AD14"/>
    <mergeCell ref="AE14:AG14"/>
    <mergeCell ref="AN22:AP22"/>
    <mergeCell ref="AN14:AP14"/>
    <mergeCell ref="AN15:AP17"/>
    <mergeCell ref="Y15:AA17"/>
    <mergeCell ref="V14:X14"/>
    <mergeCell ref="Y14:AA14"/>
    <mergeCell ref="AK23:AM25"/>
    <mergeCell ref="AN23:AP25"/>
    <mergeCell ref="V19:X21"/>
    <mergeCell ref="Y19:AA21"/>
    <mergeCell ref="B1:U3"/>
    <mergeCell ref="V11:X13"/>
    <mergeCell ref="Y11:AA13"/>
    <mergeCell ref="AB11:AD13"/>
    <mergeCell ref="AE11:AG13"/>
    <mergeCell ref="AH11:AJ13"/>
    <mergeCell ref="AK11:AM13"/>
    <mergeCell ref="V10:X10"/>
    <mergeCell ref="Y10:AA10"/>
    <mergeCell ref="AB10:AD10"/>
    <mergeCell ref="AE10:AG10"/>
    <mergeCell ref="AH10:AJ10"/>
    <mergeCell ref="AK10:AM10"/>
    <mergeCell ref="AH15:AJ17"/>
    <mergeCell ref="AK15:AM17"/>
    <mergeCell ref="AB19:AD21"/>
    <mergeCell ref="AE19:AG21"/>
    <mergeCell ref="V23:X25"/>
    <mergeCell ref="V15:X17"/>
    <mergeCell ref="AB15:AD17"/>
    <mergeCell ref="AE15:AG17"/>
    <mergeCell ref="AH19:AJ21"/>
    <mergeCell ref="AK19:AM21"/>
  </mergeCells>
  <phoneticPr fontId="24" type="noConversion"/>
  <conditionalFormatting sqref="AJ4:AP6">
    <cfRule type="cellIs" dxfId="117" priority="6" stopIfTrue="1" operator="between">
      <formula>$AD$49</formula>
      <formula>$AD$50</formula>
    </cfRule>
  </conditionalFormatting>
  <conditionalFormatting sqref="AJ5:AP5">
    <cfRule type="cellIs" dxfId="116" priority="5" stopIfTrue="1" operator="equal">
      <formula>15</formula>
    </cfRule>
  </conditionalFormatting>
  <conditionalFormatting sqref="V14 Y14 AB14 AE14 AH14 AK14 AN14 V18 Y18 AB18 AE18 V34 Y34 AN18 V22 Y22 AB22 AE22 AH22 AK22 AN22 V26 Y26 AB26 AE26 AH26 AK26 AN26 V30 Y30 AB30 AE30 AH30 AK30 AN30">
    <cfRule type="cellIs" dxfId="115" priority="8" stopIfTrue="1" operator="equal">
      <formula>1</formula>
    </cfRule>
    <cfRule type="cellIs" dxfId="114" priority="9" stopIfTrue="1" operator="equal">
      <formula>6</formula>
    </cfRule>
  </conditionalFormatting>
  <conditionalFormatting sqref="V27:AG29 AH23:AP25">
    <cfRule type="cellIs" dxfId="113" priority="17" stopIfTrue="1" operator="equal">
      <formula>26</formula>
    </cfRule>
  </conditionalFormatting>
  <conditionalFormatting sqref="AB3:AB6">
    <cfRule type="cellIs" dxfId="112" priority="11" stopIfTrue="1" operator="equal">
      <formula>$U$41</formula>
    </cfRule>
    <cfRule type="cellIs" dxfId="111" priority="12" stopIfTrue="1" operator="equal">
      <formula>$Z$44</formula>
    </cfRule>
    <cfRule type="cellIs" dxfId="110" priority="18" stopIfTrue="1" operator="equal">
      <formula>$U$41</formula>
    </cfRule>
    <cfRule type="cellIs" dxfId="109" priority="20" stopIfTrue="1" operator="equal">
      <formula>$AC$47</formula>
    </cfRule>
  </conditionalFormatting>
  <conditionalFormatting sqref="V11:X13 AB3:AB7">
    <cfRule type="cellIs" dxfId="108" priority="2" operator="equal">
      <formula>$B$37</formula>
    </cfRule>
  </conditionalFormatting>
  <hyperlinks>
    <hyperlink ref="AD5:AH7" location="año!A1" display="año!A1"/>
    <hyperlink ref="V1:Z1" location="JUNIO!A1" display="JUNIO!A1"/>
    <hyperlink ref="AJ1:AN1" location="AGOSTO!A1" display="AGOSTO!A1"/>
    <hyperlink ref="AI36:AO36" location="PORTADA!A1" display="IR A PORTADA"/>
    <hyperlink ref="AA36:AG36" location="año!A1" display="IR A AÑO COMPLETO"/>
  </hyperlinks>
  <pageMargins left="0.75" right="0.75" top="1" bottom="1" header="0" footer="0"/>
  <pageSetup paperSize="9" orientation="portrait" horizontalDpi="300" verticalDpi="300" r:id="rId2"/>
  <headerFooter alignWithMargins="0"/>
  <drawing r:id="rId3"/>
</worksheet>
</file>

<file path=xl/worksheets/sheet12.xml><?xml version="1.0" encoding="utf-8"?>
<worksheet xmlns="http://schemas.openxmlformats.org/spreadsheetml/2006/main" xmlns:r="http://schemas.openxmlformats.org/officeDocument/2006/relationships">
  <sheetPr codeName="Hoja12"/>
  <dimension ref="B1:AU70"/>
  <sheetViews>
    <sheetView showGridLines="0" showRowColHeaders="0" showZeros="0" showOutlineSymbols="0" zoomScale="125" zoomScaleNormal="125" workbookViewId="0">
      <selection activeCell="AR37" sqref="AR37"/>
    </sheetView>
  </sheetViews>
  <sheetFormatPr baseColWidth="10" defaultColWidth="3.33203125" defaultRowHeight="13.2"/>
  <sheetData>
    <row r="1" spans="2:42" ht="10.5" customHeight="1" thickBot="1">
      <c r="B1" s="1107" t="s">
        <v>991</v>
      </c>
      <c r="C1" s="1096"/>
      <c r="D1" s="1096"/>
      <c r="E1" s="1096"/>
      <c r="F1" s="1096"/>
      <c r="G1" s="1096"/>
      <c r="H1" s="1096"/>
      <c r="I1" s="1096"/>
      <c r="J1" s="1096"/>
      <c r="K1" s="1096"/>
      <c r="L1" s="1096"/>
      <c r="M1" s="1096"/>
      <c r="N1" s="1096"/>
      <c r="O1" s="1096"/>
      <c r="P1" s="1096"/>
      <c r="Q1" s="1096"/>
      <c r="R1" s="1096"/>
      <c r="S1" s="1096"/>
      <c r="T1" s="1096"/>
      <c r="U1" s="1097"/>
      <c r="V1" s="1055" t="str">
        <f>año!$C$13</f>
        <v>MAYO</v>
      </c>
      <c r="W1" s="1056"/>
      <c r="X1" s="1056"/>
      <c r="Y1" s="1056"/>
      <c r="Z1" s="1056"/>
      <c r="AA1" s="1057">
        <f>año!$O$1</f>
        <v>2024</v>
      </c>
      <c r="AB1" s="1058"/>
      <c r="AJ1" s="1055" t="str">
        <f>año!$S$13</f>
        <v>JULIO</v>
      </c>
      <c r="AK1" s="1056"/>
      <c r="AL1" s="1056"/>
      <c r="AM1" s="1056"/>
      <c r="AN1" s="1056"/>
      <c r="AO1" s="1098">
        <f>año!$O$1</f>
        <v>2024</v>
      </c>
      <c r="AP1" s="1099"/>
    </row>
    <row r="2" spans="2:42" ht="9" customHeight="1" thickBot="1">
      <c r="B2" s="1107"/>
      <c r="C2" s="1096"/>
      <c r="D2" s="1096"/>
      <c r="E2" s="1096"/>
      <c r="F2" s="1096"/>
      <c r="G2" s="1096"/>
      <c r="H2" s="1096"/>
      <c r="I2" s="1096"/>
      <c r="J2" s="1096"/>
      <c r="K2" s="1096"/>
      <c r="L2" s="1096"/>
      <c r="M2" s="1096"/>
      <c r="N2" s="1096"/>
      <c r="O2" s="1096"/>
      <c r="P2" s="1096"/>
      <c r="Q2" s="1096"/>
      <c r="R2" s="1096"/>
      <c r="S2" s="1096"/>
      <c r="T2" s="1096"/>
      <c r="U2" s="1097"/>
      <c r="V2" s="119" t="s">
        <v>20</v>
      </c>
      <c r="W2" s="120" t="s">
        <v>17</v>
      </c>
      <c r="X2" s="120" t="s">
        <v>29</v>
      </c>
      <c r="Y2" s="120" t="s">
        <v>24</v>
      </c>
      <c r="Z2" s="120" t="s">
        <v>12</v>
      </c>
      <c r="AA2" s="120" t="s">
        <v>7</v>
      </c>
      <c r="AB2" s="121" t="s">
        <v>15</v>
      </c>
      <c r="AD2" s="1126" t="str">
        <f>año!$K$13</f>
        <v>JUNIO</v>
      </c>
      <c r="AE2" s="1126"/>
      <c r="AF2" s="1126"/>
      <c r="AG2" s="1126"/>
      <c r="AH2" s="1126"/>
      <c r="AJ2" s="119" t="s">
        <v>20</v>
      </c>
      <c r="AK2" s="120" t="s">
        <v>17</v>
      </c>
      <c r="AL2" s="120" t="s">
        <v>29</v>
      </c>
      <c r="AM2" s="120" t="s">
        <v>24</v>
      </c>
      <c r="AN2" s="120" t="s">
        <v>12</v>
      </c>
      <c r="AO2" s="120" t="s">
        <v>7</v>
      </c>
      <c r="AP2" s="121" t="s">
        <v>15</v>
      </c>
    </row>
    <row r="3" spans="2:42" ht="9" customHeight="1">
      <c r="B3" s="1107"/>
      <c r="C3" s="1096"/>
      <c r="D3" s="1096"/>
      <c r="E3" s="1096"/>
      <c r="F3" s="1096"/>
      <c r="G3" s="1096"/>
      <c r="H3" s="1096"/>
      <c r="I3" s="1096"/>
      <c r="J3" s="1096"/>
      <c r="K3" s="1096"/>
      <c r="L3" s="1096"/>
      <c r="M3" s="1096"/>
      <c r="N3" s="1096"/>
      <c r="O3" s="1096"/>
      <c r="P3" s="1096"/>
      <c r="Q3" s="1096"/>
      <c r="R3" s="1096"/>
      <c r="S3" s="1096"/>
      <c r="T3" s="1096"/>
      <c r="U3" s="1097"/>
      <c r="V3" s="122" t="str">
        <f>año!C15</f>
        <v xml:space="preserve"> </v>
      </c>
      <c r="W3" s="123" t="str">
        <f>año!D15</f>
        <v xml:space="preserve"> </v>
      </c>
      <c r="X3" s="123">
        <f>año!E15</f>
        <v>1</v>
      </c>
      <c r="Y3" s="123">
        <f>año!F15</f>
        <v>2</v>
      </c>
      <c r="Z3" s="123">
        <f>año!G15</f>
        <v>3</v>
      </c>
      <c r="AA3" s="341">
        <f>año!H15</f>
        <v>4</v>
      </c>
      <c r="AB3" s="132">
        <f>año!I15</f>
        <v>5</v>
      </c>
      <c r="AD3" s="1126"/>
      <c r="AE3" s="1126"/>
      <c r="AF3" s="1126"/>
      <c r="AG3" s="1126"/>
      <c r="AH3" s="1126"/>
      <c r="AJ3" s="128">
        <f>año!S15</f>
        <v>1</v>
      </c>
      <c r="AK3" s="129">
        <f>año!T15</f>
        <v>2</v>
      </c>
      <c r="AL3" s="129">
        <f>año!U15</f>
        <v>3</v>
      </c>
      <c r="AM3" s="129">
        <f>año!V15</f>
        <v>4</v>
      </c>
      <c r="AN3" s="129">
        <f>año!W15</f>
        <v>5</v>
      </c>
      <c r="AO3" s="129">
        <f>año!X15</f>
        <v>6</v>
      </c>
      <c r="AP3" s="132">
        <f>año!Y15</f>
        <v>7</v>
      </c>
    </row>
    <row r="4" spans="2:42" ht="9" customHeight="1">
      <c r="B4" s="350"/>
      <c r="C4" s="349"/>
      <c r="D4" s="349"/>
      <c r="E4" s="349"/>
      <c r="F4" s="349"/>
      <c r="G4" s="349"/>
      <c r="H4" s="349"/>
      <c r="I4" s="349"/>
      <c r="J4" s="349"/>
      <c r="K4" s="349"/>
      <c r="L4" s="349"/>
      <c r="M4" s="349"/>
      <c r="N4" s="349"/>
      <c r="O4" s="349"/>
      <c r="P4" s="349"/>
      <c r="Q4" s="349"/>
      <c r="R4" s="349"/>
      <c r="S4" s="349"/>
      <c r="T4" s="349"/>
      <c r="U4" s="351"/>
      <c r="V4" s="384">
        <f>año!C16</f>
        <v>6</v>
      </c>
      <c r="W4" s="125">
        <f>año!D16</f>
        <v>7</v>
      </c>
      <c r="X4" s="125">
        <f>año!E16</f>
        <v>8</v>
      </c>
      <c r="Y4" s="125">
        <f>año!F16</f>
        <v>9</v>
      </c>
      <c r="Z4" s="125">
        <f>año!G16</f>
        <v>10</v>
      </c>
      <c r="AA4" s="125">
        <f>año!H16</f>
        <v>11</v>
      </c>
      <c r="AB4" s="133">
        <f>año!I16</f>
        <v>12</v>
      </c>
      <c r="AD4" s="1126"/>
      <c r="AE4" s="1126"/>
      <c r="AF4" s="1126"/>
      <c r="AG4" s="1126"/>
      <c r="AH4" s="1126"/>
      <c r="AJ4" s="130">
        <f>año!S16</f>
        <v>8</v>
      </c>
      <c r="AK4" s="131">
        <f>año!T16</f>
        <v>9</v>
      </c>
      <c r="AL4" s="131">
        <f>año!U16</f>
        <v>10</v>
      </c>
      <c r="AM4" s="131">
        <f>año!V16</f>
        <v>11</v>
      </c>
      <c r="AN4" s="131">
        <f>año!W16</f>
        <v>12</v>
      </c>
      <c r="AO4" s="131">
        <f>año!X16</f>
        <v>13</v>
      </c>
      <c r="AP4" s="133">
        <f>año!Y16</f>
        <v>14</v>
      </c>
    </row>
    <row r="5" spans="2:42" ht="9" customHeight="1">
      <c r="B5" s="350"/>
      <c r="C5" s="349"/>
      <c r="D5" s="349"/>
      <c r="E5" s="349"/>
      <c r="F5" s="349"/>
      <c r="G5" s="349"/>
      <c r="H5" s="349"/>
      <c r="I5" s="349"/>
      <c r="J5" s="349"/>
      <c r="K5" s="349"/>
      <c r="L5" s="349"/>
      <c r="M5" s="349"/>
      <c r="N5" s="349"/>
      <c r="O5" s="349"/>
      <c r="P5" s="349"/>
      <c r="Q5" s="349"/>
      <c r="R5" s="349"/>
      <c r="S5" s="349"/>
      <c r="T5" s="349"/>
      <c r="U5" s="351"/>
      <c r="V5" s="124">
        <f>año!C17</f>
        <v>13</v>
      </c>
      <c r="W5" s="125">
        <f>año!D17</f>
        <v>14</v>
      </c>
      <c r="X5" s="125">
        <f>año!E17</f>
        <v>15</v>
      </c>
      <c r="Y5" s="125">
        <f>año!F17</f>
        <v>16</v>
      </c>
      <c r="Z5" s="125">
        <f>año!G17</f>
        <v>17</v>
      </c>
      <c r="AA5" s="125">
        <f>año!H17</f>
        <v>18</v>
      </c>
      <c r="AB5" s="133">
        <f>año!I17</f>
        <v>19</v>
      </c>
      <c r="AD5" s="1044">
        <f>año!$O$1</f>
        <v>2024</v>
      </c>
      <c r="AE5" s="1045"/>
      <c r="AF5" s="1045"/>
      <c r="AG5" s="1045"/>
      <c r="AH5" s="1045"/>
      <c r="AJ5" s="130">
        <f>año!S17</f>
        <v>15</v>
      </c>
      <c r="AK5" s="131">
        <f>año!T17</f>
        <v>16</v>
      </c>
      <c r="AL5" s="131">
        <f>año!U17</f>
        <v>17</v>
      </c>
      <c r="AM5" s="131">
        <f>año!V17</f>
        <v>18</v>
      </c>
      <c r="AN5" s="131">
        <f>año!W17</f>
        <v>19</v>
      </c>
      <c r="AO5" s="131">
        <f>año!X17</f>
        <v>20</v>
      </c>
      <c r="AP5" s="133">
        <f>año!Y17</f>
        <v>21</v>
      </c>
    </row>
    <row r="6" spans="2:42" ht="9" customHeight="1">
      <c r="B6" s="350"/>
      <c r="C6" s="349"/>
      <c r="D6" s="349"/>
      <c r="E6" s="349"/>
      <c r="F6" s="349"/>
      <c r="G6" s="349"/>
      <c r="H6" s="349"/>
      <c r="I6" s="349"/>
      <c r="J6" s="349"/>
      <c r="K6" s="349"/>
      <c r="L6" s="349"/>
      <c r="M6" s="349"/>
      <c r="N6" s="349"/>
      <c r="O6" s="349"/>
      <c r="P6" s="349"/>
      <c r="Q6" s="349"/>
      <c r="R6" s="349"/>
      <c r="S6" s="349"/>
      <c r="T6" s="349"/>
      <c r="U6" s="351"/>
      <c r="V6" s="124">
        <f>año!C18</f>
        <v>20</v>
      </c>
      <c r="W6" s="125">
        <f>año!D18</f>
        <v>21</v>
      </c>
      <c r="X6" s="125">
        <f>año!E18</f>
        <v>22</v>
      </c>
      <c r="Y6" s="125">
        <f>año!F18</f>
        <v>23</v>
      </c>
      <c r="Z6" s="125">
        <f>año!G18</f>
        <v>24</v>
      </c>
      <c r="AA6" s="125">
        <f>año!H18</f>
        <v>25</v>
      </c>
      <c r="AB6" s="133">
        <f>año!I18</f>
        <v>26</v>
      </c>
      <c r="AD6" s="1045"/>
      <c r="AE6" s="1045"/>
      <c r="AF6" s="1045"/>
      <c r="AG6" s="1045"/>
      <c r="AH6" s="1045"/>
      <c r="AJ6" s="130">
        <f>año!S18</f>
        <v>22</v>
      </c>
      <c r="AK6" s="131">
        <f>año!T18</f>
        <v>23</v>
      </c>
      <c r="AL6" s="131">
        <f>año!U18</f>
        <v>24</v>
      </c>
      <c r="AM6" s="131">
        <f>año!V18</f>
        <v>25</v>
      </c>
      <c r="AN6" s="131">
        <f>año!W18</f>
        <v>26</v>
      </c>
      <c r="AO6" s="131">
        <f>año!X18</f>
        <v>27</v>
      </c>
      <c r="AP6" s="133">
        <f>año!Y18</f>
        <v>28</v>
      </c>
    </row>
    <row r="7" spans="2:42" ht="9" customHeight="1">
      <c r="B7" s="350"/>
      <c r="C7" s="349"/>
      <c r="E7" s="349"/>
      <c r="F7" s="349"/>
      <c r="G7" s="349"/>
      <c r="H7" s="349"/>
      <c r="I7" s="349"/>
      <c r="J7" s="349"/>
      <c r="K7" s="349"/>
      <c r="L7" s="349"/>
      <c r="M7" s="349"/>
      <c r="N7" s="349"/>
      <c r="O7" s="349"/>
      <c r="P7" s="349"/>
      <c r="Q7" s="349"/>
      <c r="R7" s="349"/>
      <c r="S7" s="349"/>
      <c r="T7" s="349"/>
      <c r="U7" s="351"/>
      <c r="V7" s="124">
        <f>año!C19</f>
        <v>27</v>
      </c>
      <c r="W7" s="125">
        <f>año!D19</f>
        <v>28</v>
      </c>
      <c r="X7" s="125">
        <f>año!E19</f>
        <v>29</v>
      </c>
      <c r="Y7" s="125">
        <f>año!F19</f>
        <v>30</v>
      </c>
      <c r="Z7" s="125">
        <f>año!G19</f>
        <v>31</v>
      </c>
      <c r="AA7" s="125" t="str">
        <f>año!H19</f>
        <v xml:space="preserve"> </v>
      </c>
      <c r="AB7" s="133" t="str">
        <f>año!I19</f>
        <v xml:space="preserve"> </v>
      </c>
      <c r="AD7" s="1045"/>
      <c r="AE7" s="1045"/>
      <c r="AF7" s="1045"/>
      <c r="AG7" s="1045"/>
      <c r="AH7" s="1045"/>
      <c r="AJ7" s="130">
        <f>año!S19</f>
        <v>29</v>
      </c>
      <c r="AK7" s="131">
        <f>año!T19</f>
        <v>30</v>
      </c>
      <c r="AL7" s="131">
        <f>año!U19</f>
        <v>31</v>
      </c>
      <c r="AM7" s="131" t="str">
        <f>año!V19</f>
        <v xml:space="preserve"> </v>
      </c>
      <c r="AN7" s="131" t="str">
        <f>año!W19</f>
        <v xml:space="preserve"> </v>
      </c>
      <c r="AO7" s="131" t="str">
        <f>año!X19</f>
        <v xml:space="preserve"> </v>
      </c>
      <c r="AP7" s="133" t="str">
        <f>año!Y19</f>
        <v xml:space="preserve"> </v>
      </c>
    </row>
    <row r="8" spans="2:42" ht="9" customHeight="1" thickBot="1">
      <c r="B8" s="350"/>
      <c r="C8" s="349"/>
      <c r="D8" s="349"/>
      <c r="E8" s="349"/>
      <c r="F8" s="349"/>
      <c r="G8" s="349"/>
      <c r="H8" s="349"/>
      <c r="I8" s="349"/>
      <c r="J8" s="349"/>
      <c r="K8" s="349"/>
      <c r="L8" s="349"/>
      <c r="M8" s="349"/>
      <c r="N8" s="349"/>
      <c r="O8" s="349"/>
      <c r="P8" s="349"/>
      <c r="Q8" s="349"/>
      <c r="R8" s="349"/>
      <c r="S8" s="349"/>
      <c r="T8" s="349"/>
      <c r="U8" s="352"/>
      <c r="V8" s="126" t="str">
        <f>año!C20</f>
        <v xml:space="preserve"> </v>
      </c>
      <c r="W8" s="127" t="str">
        <f>año!D20</f>
        <v xml:space="preserve"> </v>
      </c>
      <c r="X8" s="127" t="str">
        <f>año!E20</f>
        <v xml:space="preserve"> </v>
      </c>
      <c r="Y8" s="127" t="str">
        <f>año!F20</f>
        <v xml:space="preserve"> </v>
      </c>
      <c r="Z8" s="127" t="str">
        <f>año!G20</f>
        <v xml:space="preserve"> </v>
      </c>
      <c r="AA8" s="127" t="str">
        <f>año!H20</f>
        <v xml:space="preserve"> </v>
      </c>
      <c r="AB8" s="134" t="str">
        <f>año!I20</f>
        <v xml:space="preserve"> </v>
      </c>
      <c r="AJ8" s="126" t="str">
        <f>año!S20</f>
        <v xml:space="preserve"> </v>
      </c>
      <c r="AK8" s="127" t="str">
        <f>año!T20</f>
        <v xml:space="preserve"> </v>
      </c>
      <c r="AL8" s="127" t="str">
        <f>año!U20</f>
        <v xml:space="preserve"> </v>
      </c>
      <c r="AM8" s="127" t="str">
        <f>año!V20</f>
        <v xml:space="preserve"> </v>
      </c>
      <c r="AN8" s="127" t="str">
        <f>año!W20</f>
        <v xml:space="preserve"> </v>
      </c>
      <c r="AO8" s="127" t="str">
        <f>año!X20</f>
        <v xml:space="preserve"> </v>
      </c>
      <c r="AP8" s="137" t="str">
        <f>año!Y20</f>
        <v xml:space="preserve"> </v>
      </c>
    </row>
    <row r="9" spans="2:42" ht="9" customHeight="1">
      <c r="B9" s="350"/>
      <c r="C9" s="349"/>
      <c r="D9" s="349"/>
      <c r="E9" s="349"/>
      <c r="F9" s="349"/>
      <c r="G9" s="349"/>
      <c r="H9" s="349"/>
      <c r="I9" s="349"/>
      <c r="J9" s="349"/>
      <c r="K9" s="349"/>
      <c r="L9" s="349"/>
      <c r="M9" s="349"/>
      <c r="N9" s="349"/>
      <c r="O9" s="349"/>
      <c r="P9" s="349"/>
      <c r="Q9" s="349"/>
      <c r="R9" s="349"/>
      <c r="S9" s="349"/>
      <c r="T9" s="349"/>
      <c r="U9" s="352"/>
      <c r="V9" s="112"/>
      <c r="W9" s="112"/>
      <c r="X9" s="112"/>
      <c r="Y9" s="112"/>
      <c r="Z9" s="112"/>
      <c r="AA9" s="112"/>
      <c r="AB9" s="112"/>
      <c r="AC9" s="112"/>
      <c r="AD9" s="112"/>
      <c r="AE9" s="112"/>
      <c r="AF9" s="112"/>
      <c r="AG9" s="112"/>
      <c r="AH9" s="112"/>
      <c r="AI9" s="112"/>
      <c r="AJ9" s="112"/>
      <c r="AK9" s="112"/>
      <c r="AL9" s="112"/>
      <c r="AM9" s="112"/>
      <c r="AN9" s="112"/>
      <c r="AO9" s="112"/>
      <c r="AP9" s="112"/>
    </row>
    <row r="10" spans="2:42" ht="9" customHeight="1">
      <c r="B10" s="350"/>
      <c r="C10" s="349"/>
      <c r="D10" s="349"/>
      <c r="E10" s="349"/>
      <c r="F10" s="349"/>
      <c r="G10" s="349"/>
      <c r="H10" s="349"/>
      <c r="I10" s="349"/>
      <c r="J10" s="349"/>
      <c r="K10" s="349"/>
      <c r="L10" s="349"/>
      <c r="M10" s="349"/>
      <c r="N10" s="349"/>
      <c r="O10" s="349"/>
      <c r="P10" s="349"/>
      <c r="Q10" s="349"/>
      <c r="R10" s="349"/>
      <c r="S10" s="349"/>
      <c r="T10" s="349"/>
      <c r="U10" s="352"/>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047"/>
    </row>
    <row r="11" spans="2:42" ht="9" customHeight="1">
      <c r="B11" s="350"/>
      <c r="C11" s="349"/>
      <c r="D11" s="349"/>
      <c r="E11" s="349"/>
      <c r="F11" s="349"/>
      <c r="G11" s="349"/>
      <c r="H11" s="349"/>
      <c r="I11" s="349"/>
      <c r="J11" s="349"/>
      <c r="K11" s="349"/>
      <c r="L11" s="349"/>
      <c r="M11" s="349"/>
      <c r="N11" s="349"/>
      <c r="O11" s="349"/>
      <c r="P11" s="349"/>
      <c r="Q11" s="349"/>
      <c r="R11" s="349"/>
      <c r="S11" s="349"/>
      <c r="T11" s="349"/>
      <c r="U11" s="352"/>
      <c r="V11" s="1060" t="str">
        <f>año!K15</f>
        <v xml:space="preserve"> </v>
      </c>
      <c r="W11" s="1061"/>
      <c r="X11" s="1061"/>
      <c r="Y11" s="1061" t="str">
        <f>año!L15</f>
        <v xml:space="preserve"> </v>
      </c>
      <c r="Z11" s="1061"/>
      <c r="AA11" s="1061"/>
      <c r="AB11" s="1052" t="str">
        <f>año!M15</f>
        <v xml:space="preserve"> </v>
      </c>
      <c r="AC11" s="1052"/>
      <c r="AD11" s="1052"/>
      <c r="AE11" s="1052" t="str">
        <f>año!N15</f>
        <v xml:space="preserve"> </v>
      </c>
      <c r="AF11" s="1052"/>
      <c r="AG11" s="1052"/>
      <c r="AH11" s="1052" t="str">
        <f>año!O15</f>
        <v xml:space="preserve"> </v>
      </c>
      <c r="AI11" s="1052"/>
      <c r="AJ11" s="1052"/>
      <c r="AK11" s="1110">
        <f>año!P15</f>
        <v>1</v>
      </c>
      <c r="AL11" s="1110"/>
      <c r="AM11" s="1110"/>
      <c r="AN11" s="1062">
        <f>año!Q15</f>
        <v>2</v>
      </c>
      <c r="AO11" s="1062"/>
      <c r="AP11" s="1063"/>
    </row>
    <row r="12" spans="2:42" ht="9" customHeight="1">
      <c r="B12" s="350"/>
      <c r="C12" s="349"/>
      <c r="D12" s="349"/>
      <c r="E12" s="349"/>
      <c r="F12" s="349"/>
      <c r="G12" s="349"/>
      <c r="H12" s="349"/>
      <c r="I12" s="349"/>
      <c r="J12" s="349"/>
      <c r="K12" s="349"/>
      <c r="L12" s="349"/>
      <c r="M12" s="349"/>
      <c r="N12" s="349"/>
      <c r="O12" s="349"/>
      <c r="P12" s="349"/>
      <c r="Q12" s="349"/>
      <c r="R12" s="349"/>
      <c r="S12" s="349"/>
      <c r="T12" s="349"/>
      <c r="U12" s="352"/>
      <c r="V12" s="1051"/>
      <c r="W12" s="1052"/>
      <c r="X12" s="1052"/>
      <c r="Y12" s="1052"/>
      <c r="Z12" s="1052"/>
      <c r="AA12" s="1052"/>
      <c r="AB12" s="1052"/>
      <c r="AC12" s="1052"/>
      <c r="AD12" s="1052"/>
      <c r="AE12" s="1052"/>
      <c r="AF12" s="1052"/>
      <c r="AG12" s="1052"/>
      <c r="AH12" s="1052"/>
      <c r="AI12" s="1052"/>
      <c r="AJ12" s="1052"/>
      <c r="AK12" s="1110"/>
      <c r="AL12" s="1110"/>
      <c r="AM12" s="1110"/>
      <c r="AN12" s="1064"/>
      <c r="AO12" s="1064"/>
      <c r="AP12" s="1065"/>
    </row>
    <row r="13" spans="2:42" ht="9" customHeight="1">
      <c r="B13" s="350"/>
      <c r="C13" s="349"/>
      <c r="D13" s="349"/>
      <c r="E13" s="349"/>
      <c r="F13" s="349"/>
      <c r="G13" s="349"/>
      <c r="H13" s="349"/>
      <c r="I13" s="349"/>
      <c r="J13" s="349"/>
      <c r="K13" s="349"/>
      <c r="L13" s="349"/>
      <c r="M13" s="349"/>
      <c r="N13" s="349"/>
      <c r="O13" s="349"/>
      <c r="P13" s="349"/>
      <c r="Q13" s="349"/>
      <c r="R13" s="349"/>
      <c r="S13" s="349"/>
      <c r="T13" s="349"/>
      <c r="U13" s="352"/>
      <c r="V13" s="1051"/>
      <c r="W13" s="1052"/>
      <c r="X13" s="1052"/>
      <c r="Y13" s="1052"/>
      <c r="Z13" s="1052"/>
      <c r="AA13" s="1052"/>
      <c r="AB13" s="1052"/>
      <c r="AC13" s="1052"/>
      <c r="AD13" s="1052"/>
      <c r="AE13" s="1052"/>
      <c r="AF13" s="1052"/>
      <c r="AG13" s="1052"/>
      <c r="AH13" s="1052"/>
      <c r="AI13" s="1052"/>
      <c r="AJ13" s="1052"/>
      <c r="AK13" s="1110"/>
      <c r="AL13" s="1110"/>
      <c r="AM13" s="1110"/>
      <c r="AN13" s="1064"/>
      <c r="AO13" s="1064"/>
      <c r="AP13" s="1065"/>
    </row>
    <row r="14" spans="2:42" ht="9" customHeight="1">
      <c r="B14" s="350"/>
      <c r="C14" s="349"/>
      <c r="D14" s="349"/>
      <c r="E14" s="349"/>
      <c r="F14" s="349"/>
      <c r="G14" s="349"/>
      <c r="H14" s="349"/>
      <c r="I14" s="349"/>
      <c r="J14" s="349"/>
      <c r="K14" s="349"/>
      <c r="L14" s="349"/>
      <c r="M14" s="349"/>
      <c r="N14" s="349"/>
      <c r="O14" s="349"/>
      <c r="P14" s="349"/>
      <c r="Q14" s="349"/>
      <c r="R14" s="349"/>
      <c r="S14" s="349"/>
      <c r="T14" s="349"/>
      <c r="U14" s="352"/>
      <c r="V14" s="1049" t="str">
        <f>IF(V11&lt;&gt;" ",VLOOKUP(V11,$F$40:$H$70,2)," ")</f>
        <v xml:space="preserve"> </v>
      </c>
      <c r="W14" s="1050"/>
      <c r="X14" s="1050"/>
      <c r="Y14" s="1050" t="str">
        <f>IF(Y11&lt;&gt;" ",VLOOKUP(Y11,$F$40:$H$70,2)," ")</f>
        <v xml:space="preserve"> </v>
      </c>
      <c r="Z14" s="1050"/>
      <c r="AA14" s="1050"/>
      <c r="AB14" s="1050" t="str">
        <f>IF(AB11&lt;&gt;" ",VLOOKUP(AB11,$F$40:$H$70,2)," ")</f>
        <v xml:space="preserve"> </v>
      </c>
      <c r="AC14" s="1050"/>
      <c r="AD14" s="1050"/>
      <c r="AE14" s="1050" t="str">
        <f>IF(AE11&lt;&gt;" ",VLOOKUP(AE11,$F$40:$H$70,2)," ")</f>
        <v xml:space="preserve"> </v>
      </c>
      <c r="AF14" s="1050"/>
      <c r="AG14" s="1050"/>
      <c r="AH14" s="1050" t="str">
        <f>IF(AH11&lt;&gt;" ",VLOOKUP(AH11,$F$40:$H$70,2)," ")</f>
        <v xml:space="preserve"> </v>
      </c>
      <c r="AI14" s="1050"/>
      <c r="AJ14" s="1050"/>
      <c r="AK14" s="1050" t="str">
        <f>IF(AK11&lt;&gt;" ",VLOOKUP(AK11,$F$40:$H$70,2)," ")</f>
        <v>Cast-Mancha</v>
      </c>
      <c r="AL14" s="1050"/>
      <c r="AM14" s="1050"/>
      <c r="AN14" s="1050" t="str">
        <f>IF(AN11&lt;&gt;" ",VLOOKUP(AN11,$F$40:$H$70,2)," ")</f>
        <v>Marcelino</v>
      </c>
      <c r="AO14" s="1050"/>
      <c r="AP14" s="1066"/>
    </row>
    <row r="15" spans="2:42" ht="9" customHeight="1">
      <c r="B15" s="350"/>
      <c r="C15" s="349"/>
      <c r="D15" s="349"/>
      <c r="E15" s="349"/>
      <c r="F15" s="349"/>
      <c r="G15" s="349"/>
      <c r="H15" s="349"/>
      <c r="I15" s="349"/>
      <c r="J15" s="349"/>
      <c r="K15" s="349"/>
      <c r="L15" s="349"/>
      <c r="M15" s="349"/>
      <c r="N15" s="349"/>
      <c r="O15" s="349"/>
      <c r="P15" s="349"/>
      <c r="Q15" s="349"/>
      <c r="R15" s="349"/>
      <c r="S15" s="349"/>
      <c r="T15" s="349"/>
      <c r="U15" s="352"/>
      <c r="V15" s="1051">
        <f>año!K16</f>
        <v>3</v>
      </c>
      <c r="W15" s="1052"/>
      <c r="X15" s="1052"/>
      <c r="Y15" s="1052">
        <f>año!L16</f>
        <v>4</v>
      </c>
      <c r="Z15" s="1052"/>
      <c r="AA15" s="1052"/>
      <c r="AB15" s="1052">
        <f>año!M16</f>
        <v>5</v>
      </c>
      <c r="AC15" s="1052"/>
      <c r="AD15" s="1052"/>
      <c r="AE15" s="1052">
        <f>año!N16</f>
        <v>6</v>
      </c>
      <c r="AF15" s="1052"/>
      <c r="AG15" s="1052"/>
      <c r="AH15" s="1052">
        <f>año!O16</f>
        <v>7</v>
      </c>
      <c r="AI15" s="1052"/>
      <c r="AJ15" s="1052"/>
      <c r="AK15" s="1152">
        <f>año!P16</f>
        <v>8</v>
      </c>
      <c r="AL15" s="1152"/>
      <c r="AM15" s="1152"/>
      <c r="AN15" s="1064">
        <f>año!Q16</f>
        <v>9</v>
      </c>
      <c r="AO15" s="1064"/>
      <c r="AP15" s="1065"/>
    </row>
    <row r="16" spans="2:42" ht="9" customHeight="1">
      <c r="B16" s="350"/>
      <c r="C16" s="349"/>
      <c r="D16" s="349"/>
      <c r="E16" s="349"/>
      <c r="F16" s="349"/>
      <c r="G16" s="349"/>
      <c r="H16" s="349"/>
      <c r="I16" s="349"/>
      <c r="J16" s="349"/>
      <c r="K16" s="349"/>
      <c r="L16" s="349"/>
      <c r="M16" s="349"/>
      <c r="N16" s="349"/>
      <c r="O16" s="349"/>
      <c r="P16" s="349"/>
      <c r="Q16" s="349"/>
      <c r="R16" s="349"/>
      <c r="S16" s="349"/>
      <c r="T16" s="349"/>
      <c r="U16" s="352"/>
      <c r="V16" s="1051"/>
      <c r="W16" s="1052"/>
      <c r="X16" s="1052"/>
      <c r="Y16" s="1052"/>
      <c r="Z16" s="1052"/>
      <c r="AA16" s="1052"/>
      <c r="AB16" s="1052"/>
      <c r="AC16" s="1052"/>
      <c r="AD16" s="1052"/>
      <c r="AE16" s="1052"/>
      <c r="AF16" s="1052"/>
      <c r="AG16" s="1052"/>
      <c r="AH16" s="1052"/>
      <c r="AI16" s="1052"/>
      <c r="AJ16" s="1052"/>
      <c r="AK16" s="1152"/>
      <c r="AL16" s="1152"/>
      <c r="AM16" s="1152"/>
      <c r="AN16" s="1064"/>
      <c r="AO16" s="1064"/>
      <c r="AP16" s="1065"/>
    </row>
    <row r="17" spans="2:42" ht="9" customHeight="1">
      <c r="B17" s="350"/>
      <c r="C17" s="349"/>
      <c r="D17" s="349"/>
      <c r="E17" s="349"/>
      <c r="F17" s="349"/>
      <c r="G17" s="349"/>
      <c r="H17" s="349"/>
      <c r="I17" s="349"/>
      <c r="J17" s="349"/>
      <c r="K17" s="349"/>
      <c r="L17" s="349"/>
      <c r="M17" s="349"/>
      <c r="N17" s="349"/>
      <c r="O17" s="349"/>
      <c r="P17" s="349"/>
      <c r="Q17" s="349"/>
      <c r="R17" s="349"/>
      <c r="S17" s="349"/>
      <c r="T17" s="349"/>
      <c r="U17" s="352"/>
      <c r="V17" s="1051"/>
      <c r="W17" s="1052"/>
      <c r="X17" s="1052"/>
      <c r="Y17" s="1052"/>
      <c r="Z17" s="1052"/>
      <c r="AA17" s="1052"/>
      <c r="AB17" s="1052"/>
      <c r="AC17" s="1052"/>
      <c r="AD17" s="1052"/>
      <c r="AE17" s="1052"/>
      <c r="AF17" s="1052"/>
      <c r="AG17" s="1052"/>
      <c r="AH17" s="1052"/>
      <c r="AI17" s="1052"/>
      <c r="AJ17" s="1052"/>
      <c r="AK17" s="1152"/>
      <c r="AL17" s="1152"/>
      <c r="AM17" s="1152"/>
      <c r="AN17" s="1064"/>
      <c r="AO17" s="1064"/>
      <c r="AP17" s="1065"/>
    </row>
    <row r="18" spans="2:42" ht="9" customHeight="1">
      <c r="B18" s="350"/>
      <c r="C18" s="349"/>
      <c r="D18" s="349"/>
      <c r="E18" s="349"/>
      <c r="F18" s="349"/>
      <c r="G18" s="349"/>
      <c r="H18" s="349"/>
      <c r="I18" s="349"/>
      <c r="J18" s="349"/>
      <c r="K18" s="349"/>
      <c r="L18" s="349"/>
      <c r="M18" s="349"/>
      <c r="N18" s="349"/>
      <c r="O18" s="349"/>
      <c r="P18" s="349"/>
      <c r="Q18" s="349"/>
      <c r="R18" s="349"/>
      <c r="S18" s="349"/>
      <c r="T18" s="349"/>
      <c r="U18" s="352"/>
      <c r="V18" s="1049" t="str">
        <f>IF(V15&lt;&gt;" ",VLOOKUP(V15,$F$40:$H$70,2)," ")</f>
        <v>Clotilde</v>
      </c>
      <c r="W18" s="1050"/>
      <c r="X18" s="1050"/>
      <c r="Y18" s="1050" t="str">
        <f>IF(Y15&lt;&gt;" ",VLOOKUP(Y15,$F$40:$H$70,2)," ")</f>
        <v>Pere Verona</v>
      </c>
      <c r="Z18" s="1050"/>
      <c r="AA18" s="1050"/>
      <c r="AB18" s="1050" t="str">
        <f>IF(AB15&lt;&gt;" ",VLOOKUP(AB15,$F$40:$H$70,2)," ")</f>
        <v>Bonifacio</v>
      </c>
      <c r="AC18" s="1050"/>
      <c r="AD18" s="1050"/>
      <c r="AE18" s="1050" t="str">
        <f>IF(AE15&lt;&gt;" ",VLOOKUP(AE15,$F$40:$H$70,2)," ")</f>
        <v>Norberto</v>
      </c>
      <c r="AF18" s="1050"/>
      <c r="AG18" s="1050"/>
      <c r="AH18" s="1050" t="str">
        <f>IF(AH15&lt;&gt;" ",VLOOKUP(AH15,$F$40:$H$70,2)," ")</f>
        <v>Jeremías</v>
      </c>
      <c r="AI18" s="1050"/>
      <c r="AJ18" s="1050"/>
      <c r="AK18" s="1050" t="str">
        <f>IF(AK15&lt;&gt;" ",VLOOKUP(AK15,$F$40:$H$70,2)," ")</f>
        <v>Diana</v>
      </c>
      <c r="AL18" s="1050"/>
      <c r="AM18" s="1050"/>
      <c r="AN18" s="1050" t="str">
        <f>IF(AN15&lt;&gt;" ",VLOOKUP(AN15,$F$40:$H$70,2)," ")</f>
        <v>Murcia-La Rioja</v>
      </c>
      <c r="AO18" s="1050"/>
      <c r="AP18" s="1066"/>
    </row>
    <row r="19" spans="2:42" ht="9" customHeight="1">
      <c r="B19" s="350"/>
      <c r="C19" s="349"/>
      <c r="D19" s="349"/>
      <c r="E19" s="349"/>
      <c r="F19" s="349"/>
      <c r="G19" s="349"/>
      <c r="H19" s="349"/>
      <c r="I19" s="349"/>
      <c r="J19" s="349"/>
      <c r="K19" s="349"/>
      <c r="L19" s="349"/>
      <c r="M19" s="349"/>
      <c r="N19" s="349"/>
      <c r="O19" s="349"/>
      <c r="P19" s="349"/>
      <c r="Q19" s="349"/>
      <c r="R19" s="349"/>
      <c r="S19" s="349"/>
      <c r="T19" s="349"/>
      <c r="U19" s="352"/>
      <c r="V19" s="1051">
        <f>año!K17</f>
        <v>10</v>
      </c>
      <c r="W19" s="1052"/>
      <c r="X19" s="1052"/>
      <c r="Y19" s="1052">
        <f>año!L17</f>
        <v>11</v>
      </c>
      <c r="Z19" s="1052"/>
      <c r="AA19" s="1052"/>
      <c r="AB19" s="1052">
        <f>año!M17</f>
        <v>12</v>
      </c>
      <c r="AC19" s="1052"/>
      <c r="AD19" s="1052"/>
      <c r="AE19" s="1052">
        <f>año!N17</f>
        <v>13</v>
      </c>
      <c r="AF19" s="1052"/>
      <c r="AG19" s="1052"/>
      <c r="AH19" s="1052">
        <f>año!O17</f>
        <v>14</v>
      </c>
      <c r="AI19" s="1052"/>
      <c r="AJ19" s="1052"/>
      <c r="AK19" s="1052">
        <f>año!P17</f>
        <v>15</v>
      </c>
      <c r="AL19" s="1052"/>
      <c r="AM19" s="1052"/>
      <c r="AN19" s="1064">
        <f>año!Q17</f>
        <v>16</v>
      </c>
      <c r="AO19" s="1064"/>
      <c r="AP19" s="1065"/>
    </row>
    <row r="20" spans="2:42" ht="9" customHeight="1">
      <c r="B20" s="350"/>
      <c r="C20" s="349"/>
      <c r="D20" s="349"/>
      <c r="E20" s="349"/>
      <c r="F20" s="349"/>
      <c r="G20" s="349"/>
      <c r="H20" s="349"/>
      <c r="I20" s="349"/>
      <c r="J20" s="349"/>
      <c r="K20" s="349"/>
      <c r="L20" s="349"/>
      <c r="M20" s="349"/>
      <c r="N20" s="349"/>
      <c r="O20" s="349"/>
      <c r="P20" s="349"/>
      <c r="Q20" s="349"/>
      <c r="R20" s="349"/>
      <c r="S20" s="349"/>
      <c r="T20" s="349"/>
      <c r="U20" s="352"/>
      <c r="V20" s="1051"/>
      <c r="W20" s="1052"/>
      <c r="X20" s="1052"/>
      <c r="Y20" s="1052"/>
      <c r="Z20" s="1052"/>
      <c r="AA20" s="1052"/>
      <c r="AB20" s="1052"/>
      <c r="AC20" s="1052"/>
      <c r="AD20" s="1052"/>
      <c r="AE20" s="1052"/>
      <c r="AF20" s="1052"/>
      <c r="AG20" s="1052"/>
      <c r="AH20" s="1052"/>
      <c r="AI20" s="1052"/>
      <c r="AJ20" s="1052"/>
      <c r="AK20" s="1052"/>
      <c r="AL20" s="1052"/>
      <c r="AM20" s="1052"/>
      <c r="AN20" s="1064"/>
      <c r="AO20" s="1064"/>
      <c r="AP20" s="1065"/>
    </row>
    <row r="21" spans="2:42" ht="9" customHeight="1">
      <c r="B21" s="350"/>
      <c r="C21" s="349"/>
      <c r="D21" s="349"/>
      <c r="E21" s="349"/>
      <c r="F21" s="349"/>
      <c r="G21" s="349"/>
      <c r="H21" s="349"/>
      <c r="I21" s="349"/>
      <c r="J21" s="349"/>
      <c r="K21" s="349"/>
      <c r="L21" s="349"/>
      <c r="M21" s="349"/>
      <c r="N21" s="349"/>
      <c r="O21" s="349"/>
      <c r="P21" s="349"/>
      <c r="Q21" s="349"/>
      <c r="R21" s="349"/>
      <c r="S21" s="349"/>
      <c r="T21" s="349"/>
      <c r="U21" s="352"/>
      <c r="V21" s="1051"/>
      <c r="W21" s="1052"/>
      <c r="X21" s="1052"/>
      <c r="Y21" s="1052"/>
      <c r="Z21" s="1052"/>
      <c r="AA21" s="1052"/>
      <c r="AB21" s="1052"/>
      <c r="AC21" s="1052"/>
      <c r="AD21" s="1052"/>
      <c r="AE21" s="1052"/>
      <c r="AF21" s="1052"/>
      <c r="AG21" s="1052"/>
      <c r="AH21" s="1052"/>
      <c r="AI21" s="1052"/>
      <c r="AJ21" s="1052"/>
      <c r="AK21" s="1052"/>
      <c r="AL21" s="1052"/>
      <c r="AM21" s="1052"/>
      <c r="AN21" s="1064"/>
      <c r="AO21" s="1064"/>
      <c r="AP21" s="1065"/>
    </row>
    <row r="22" spans="2:42" ht="9" customHeight="1">
      <c r="B22" s="350"/>
      <c r="C22" s="349"/>
      <c r="D22" s="349"/>
      <c r="E22" s="349"/>
      <c r="F22" s="349"/>
      <c r="G22" s="349"/>
      <c r="H22" s="349"/>
      <c r="I22" s="349"/>
      <c r="J22" s="349"/>
      <c r="K22" s="349"/>
      <c r="L22" s="349"/>
      <c r="M22" s="349"/>
      <c r="N22" s="349"/>
      <c r="O22" s="349"/>
      <c r="P22" s="349"/>
      <c r="Q22" s="349"/>
      <c r="R22" s="349"/>
      <c r="S22" s="349"/>
      <c r="T22" s="349"/>
      <c r="U22" s="352"/>
      <c r="V22" s="1049" t="str">
        <f>IF(V19&lt;&gt;" ",VLOOKUP(V19,$F$40:$H$70,2)," ")</f>
        <v>Timoteo</v>
      </c>
      <c r="W22" s="1050"/>
      <c r="X22" s="1050"/>
      <c r="Y22" s="1050" t="str">
        <f>IF(Y19&lt;&gt;" ",VLOOKUP(Y19,$F$40:$H$70,2)," ")</f>
        <v>Bernabé</v>
      </c>
      <c r="Z22" s="1050"/>
      <c r="AA22" s="1050"/>
      <c r="AB22" s="1050" t="str">
        <f>IF(AB19&lt;&gt;" ",VLOOKUP(AB19,$F$40:$H$70,2)," ")</f>
        <v>Rosa Molas</v>
      </c>
      <c r="AC22" s="1050"/>
      <c r="AD22" s="1050"/>
      <c r="AE22" s="1050" t="str">
        <f>IF(AE19&lt;&gt;" ",VLOOKUP(AE19,$F$40:$H$70,2)," ")</f>
        <v>Antonio Padua</v>
      </c>
      <c r="AF22" s="1050"/>
      <c r="AG22" s="1050"/>
      <c r="AH22" s="1050" t="str">
        <f>IF(AH19&lt;&gt;" ",VLOOKUP(AH19,$F$40:$H$70,2)," ")</f>
        <v>Eliseo</v>
      </c>
      <c r="AI22" s="1050"/>
      <c r="AJ22" s="1050"/>
      <c r="AK22" s="1050" t="str">
        <f>IF(AK19&lt;&gt;" ",VLOOKUP(AK19,$F$40:$H$70,2)," ")</f>
        <v>Micaela</v>
      </c>
      <c r="AL22" s="1050"/>
      <c r="AM22" s="1050"/>
      <c r="AN22" s="1050" t="str">
        <f>IF(AN19&lt;&gt;" ",VLOOKUP(AN19,$F$40:$H$70,2)," ")</f>
        <v>Quirico</v>
      </c>
      <c r="AO22" s="1050"/>
      <c r="AP22" s="1066"/>
    </row>
    <row r="23" spans="2:42" ht="9" customHeight="1">
      <c r="B23" s="350"/>
      <c r="C23" s="349"/>
      <c r="D23" s="349"/>
      <c r="E23" s="349"/>
      <c r="F23" s="349"/>
      <c r="G23" s="349"/>
      <c r="H23" s="349"/>
      <c r="I23" s="349"/>
      <c r="J23" s="349"/>
      <c r="K23" s="349"/>
      <c r="L23" s="349"/>
      <c r="M23" s="349"/>
      <c r="N23" s="349"/>
      <c r="O23" s="349"/>
      <c r="P23" s="349"/>
      <c r="Q23" s="349"/>
      <c r="R23" s="349"/>
      <c r="S23" s="349"/>
      <c r="T23" s="349"/>
      <c r="U23" s="352"/>
      <c r="V23" s="1051">
        <f>año!K18</f>
        <v>17</v>
      </c>
      <c r="W23" s="1052"/>
      <c r="X23" s="1052"/>
      <c r="Y23" s="1052">
        <f>año!L18</f>
        <v>18</v>
      </c>
      <c r="Z23" s="1052"/>
      <c r="AA23" s="1052"/>
      <c r="AB23" s="1052">
        <f>año!M18</f>
        <v>19</v>
      </c>
      <c r="AC23" s="1052"/>
      <c r="AD23" s="1052"/>
      <c r="AE23" s="1052">
        <f>año!N18</f>
        <v>20</v>
      </c>
      <c r="AF23" s="1052"/>
      <c r="AG23" s="1052"/>
      <c r="AH23" s="1110">
        <f>año!O18</f>
        <v>21</v>
      </c>
      <c r="AI23" s="1110"/>
      <c r="AJ23" s="1110"/>
      <c r="AK23" s="1110">
        <f>año!P18</f>
        <v>22</v>
      </c>
      <c r="AL23" s="1110"/>
      <c r="AM23" s="1110"/>
      <c r="AN23" s="1064">
        <f>año!Q18</f>
        <v>23</v>
      </c>
      <c r="AO23" s="1064"/>
      <c r="AP23" s="1065"/>
    </row>
    <row r="24" spans="2:42" ht="9" customHeight="1">
      <c r="B24" s="350"/>
      <c r="C24" s="349"/>
      <c r="D24" s="349"/>
      <c r="E24" s="349"/>
      <c r="F24" s="349"/>
      <c r="G24" s="349"/>
      <c r="H24" s="349"/>
      <c r="I24" s="349"/>
      <c r="J24" s="349"/>
      <c r="K24" s="349"/>
      <c r="L24" s="349"/>
      <c r="M24" s="349"/>
      <c r="N24" s="349"/>
      <c r="O24" s="349"/>
      <c r="P24" s="349"/>
      <c r="Q24" s="349"/>
      <c r="R24" s="349"/>
      <c r="S24" s="349"/>
      <c r="T24" s="349"/>
      <c r="U24" s="352"/>
      <c r="V24" s="1051"/>
      <c r="W24" s="1052"/>
      <c r="X24" s="1052"/>
      <c r="Y24" s="1052"/>
      <c r="Z24" s="1052"/>
      <c r="AA24" s="1052"/>
      <c r="AB24" s="1052"/>
      <c r="AC24" s="1052"/>
      <c r="AD24" s="1052"/>
      <c r="AE24" s="1052"/>
      <c r="AF24" s="1052"/>
      <c r="AG24" s="1052"/>
      <c r="AH24" s="1110"/>
      <c r="AI24" s="1110"/>
      <c r="AJ24" s="1110"/>
      <c r="AK24" s="1110"/>
      <c r="AL24" s="1110"/>
      <c r="AM24" s="1110"/>
      <c r="AN24" s="1064"/>
      <c r="AO24" s="1064"/>
      <c r="AP24" s="1065"/>
    </row>
    <row r="25" spans="2:42" ht="9" customHeight="1">
      <c r="B25" s="350"/>
      <c r="C25" s="349"/>
      <c r="D25" s="349"/>
      <c r="E25" s="349"/>
      <c r="F25" s="349"/>
      <c r="G25" s="349"/>
      <c r="H25" s="349"/>
      <c r="I25" s="349"/>
      <c r="J25" s="349"/>
      <c r="K25" s="349"/>
      <c r="L25" s="349"/>
      <c r="M25" s="349"/>
      <c r="N25" s="349"/>
      <c r="O25" s="349"/>
      <c r="P25" s="349"/>
      <c r="Q25" s="349"/>
      <c r="R25" s="349"/>
      <c r="S25" s="349"/>
      <c r="T25" s="349"/>
      <c r="U25" s="352"/>
      <c r="V25" s="1051"/>
      <c r="W25" s="1052"/>
      <c r="X25" s="1052"/>
      <c r="Y25" s="1052"/>
      <c r="Z25" s="1052"/>
      <c r="AA25" s="1052"/>
      <c r="AB25" s="1052"/>
      <c r="AC25" s="1052"/>
      <c r="AD25" s="1052"/>
      <c r="AE25" s="1052"/>
      <c r="AF25" s="1052"/>
      <c r="AG25" s="1052"/>
      <c r="AH25" s="1110"/>
      <c r="AI25" s="1110"/>
      <c r="AJ25" s="1110"/>
      <c r="AK25" s="1110"/>
      <c r="AL25" s="1110"/>
      <c r="AM25" s="1110"/>
      <c r="AN25" s="1064"/>
      <c r="AO25" s="1064"/>
      <c r="AP25" s="1065"/>
    </row>
    <row r="26" spans="2:42" ht="9" customHeight="1">
      <c r="B26" s="350"/>
      <c r="C26" s="349"/>
      <c r="D26" s="349"/>
      <c r="E26" s="349"/>
      <c r="F26" s="349"/>
      <c r="G26" s="349"/>
      <c r="H26" s="349"/>
      <c r="I26" s="349"/>
      <c r="J26" s="349"/>
      <c r="K26" s="349"/>
      <c r="L26" s="349"/>
      <c r="M26" s="349"/>
      <c r="N26" s="349"/>
      <c r="O26" s="349"/>
      <c r="P26" s="349"/>
      <c r="Q26" s="349"/>
      <c r="R26" s="349"/>
      <c r="S26" s="349"/>
      <c r="T26" s="349"/>
      <c r="U26" s="352"/>
      <c r="V26" s="1049" t="str">
        <f>IF(V23&lt;&gt;" ",VLOOKUP(V23,$F$40:$H$70,2)," ")</f>
        <v>Ismael</v>
      </c>
      <c r="W26" s="1050"/>
      <c r="X26" s="1050"/>
      <c r="Y26" s="1050" t="str">
        <f>IF(Y23&lt;&gt;" ",VLOOKUP(Y23,$F$40:$H$70,2)," ")</f>
        <v>Ciriaco</v>
      </c>
      <c r="Z26" s="1050"/>
      <c r="AA26" s="1050"/>
      <c r="AB26" s="1050" t="str">
        <f>IF(AB23&lt;&gt;" ",VLOOKUP(AB23,$F$40:$H$70,2)," ")</f>
        <v>Cor Jesús</v>
      </c>
      <c r="AC26" s="1050"/>
      <c r="AD26" s="1050"/>
      <c r="AE26" s="1050" t="str">
        <f>IF(AE23&lt;&gt;" ",VLOOKUP(AE23,$F$40:$H$70,2)," ")</f>
        <v>Héctor</v>
      </c>
      <c r="AF26" s="1050"/>
      <c r="AG26" s="1050"/>
      <c r="AH26" s="1050" t="str">
        <f>IF(AH23&lt;&gt;" ",VLOOKUP(AH23,$F$40:$H$70,2)," ")</f>
        <v>Luis Gonzaga</v>
      </c>
      <c r="AI26" s="1050"/>
      <c r="AJ26" s="1050"/>
      <c r="AK26" s="1050" t="str">
        <f>IF(AK23&lt;&gt;" ",VLOOKUP(AK23,$F$40:$H$70,2)," ")</f>
        <v>Paulino</v>
      </c>
      <c r="AL26" s="1050"/>
      <c r="AM26" s="1050"/>
      <c r="AN26" s="1050" t="str">
        <f>IF(AN23&lt;&gt;" ",VLOOKUP(AN23,$F$40:$H$70,2)," ")</f>
        <v>Jacob</v>
      </c>
      <c r="AO26" s="1050"/>
      <c r="AP26" s="1066"/>
    </row>
    <row r="27" spans="2:42" ht="9" customHeight="1">
      <c r="B27" s="350"/>
      <c r="C27" s="349"/>
      <c r="D27" s="349"/>
      <c r="E27" s="349"/>
      <c r="F27" s="349"/>
      <c r="G27" s="349"/>
      <c r="H27" s="349"/>
      <c r="I27" s="349"/>
      <c r="J27" s="349"/>
      <c r="K27" s="349"/>
      <c r="L27" s="349"/>
      <c r="M27" s="349"/>
      <c r="N27" s="349"/>
      <c r="O27" s="349"/>
      <c r="P27" s="349"/>
      <c r="Q27" s="349"/>
      <c r="R27" s="349"/>
      <c r="S27" s="349"/>
      <c r="T27" s="349"/>
      <c r="U27" s="352"/>
      <c r="V27" s="1153">
        <f>año!K19</f>
        <v>24</v>
      </c>
      <c r="W27" s="1110"/>
      <c r="X27" s="1110"/>
      <c r="Y27" s="1052">
        <f>año!L19</f>
        <v>25</v>
      </c>
      <c r="Z27" s="1052"/>
      <c r="AA27" s="1052"/>
      <c r="AB27" s="1052">
        <f>año!M19</f>
        <v>26</v>
      </c>
      <c r="AC27" s="1052"/>
      <c r="AD27" s="1052"/>
      <c r="AE27" s="1052">
        <f>año!N19</f>
        <v>27</v>
      </c>
      <c r="AF27" s="1052"/>
      <c r="AG27" s="1052"/>
      <c r="AH27" s="1052">
        <f>año!O19</f>
        <v>28</v>
      </c>
      <c r="AI27" s="1052"/>
      <c r="AJ27" s="1052"/>
      <c r="AK27" s="1052">
        <f>año!P19</f>
        <v>29</v>
      </c>
      <c r="AL27" s="1052"/>
      <c r="AM27" s="1052"/>
      <c r="AN27" s="1064">
        <f>año!Q19</f>
        <v>30</v>
      </c>
      <c r="AO27" s="1064"/>
      <c r="AP27" s="1065"/>
    </row>
    <row r="28" spans="2:42" ht="9" customHeight="1">
      <c r="B28" s="350"/>
      <c r="C28" s="349"/>
      <c r="D28" s="349"/>
      <c r="E28" s="349"/>
      <c r="F28" s="349"/>
      <c r="G28" s="349"/>
      <c r="H28" s="349"/>
      <c r="I28" s="349"/>
      <c r="J28" s="349"/>
      <c r="K28" s="349"/>
      <c r="L28" s="349"/>
      <c r="M28" s="349"/>
      <c r="N28" s="349"/>
      <c r="O28" s="349"/>
      <c r="P28" s="349"/>
      <c r="Q28" s="349"/>
      <c r="R28" s="349"/>
      <c r="S28" s="349"/>
      <c r="T28" s="349"/>
      <c r="U28" s="352"/>
      <c r="V28" s="1153"/>
      <c r="W28" s="1110"/>
      <c r="X28" s="1110"/>
      <c r="Y28" s="1052"/>
      <c r="Z28" s="1052"/>
      <c r="AA28" s="1052"/>
      <c r="AB28" s="1052"/>
      <c r="AC28" s="1052"/>
      <c r="AD28" s="1052"/>
      <c r="AE28" s="1052"/>
      <c r="AF28" s="1052"/>
      <c r="AG28" s="1052"/>
      <c r="AH28" s="1052"/>
      <c r="AI28" s="1052"/>
      <c r="AJ28" s="1052"/>
      <c r="AK28" s="1052"/>
      <c r="AL28" s="1052"/>
      <c r="AM28" s="1052"/>
      <c r="AN28" s="1064"/>
      <c r="AO28" s="1064"/>
      <c r="AP28" s="1065"/>
    </row>
    <row r="29" spans="2:42" ht="9" customHeight="1">
      <c r="B29" s="350"/>
      <c r="C29" s="349"/>
      <c r="D29" s="349"/>
      <c r="E29" s="349"/>
      <c r="F29" s="349"/>
      <c r="G29" s="349"/>
      <c r="H29" s="349"/>
      <c r="I29" s="349"/>
      <c r="J29" s="349"/>
      <c r="K29" s="349"/>
      <c r="L29" s="349"/>
      <c r="M29" s="349"/>
      <c r="N29" s="349"/>
      <c r="O29" s="349"/>
      <c r="P29" s="349"/>
      <c r="Q29" s="349"/>
      <c r="R29" s="349"/>
      <c r="S29" s="349"/>
      <c r="T29" s="349"/>
      <c r="U29" s="352"/>
      <c r="V29" s="1153"/>
      <c r="W29" s="1110"/>
      <c r="X29" s="1110"/>
      <c r="Y29" s="1052"/>
      <c r="Z29" s="1052"/>
      <c r="AA29" s="1052"/>
      <c r="AB29" s="1052"/>
      <c r="AC29" s="1052"/>
      <c r="AD29" s="1052"/>
      <c r="AE29" s="1052"/>
      <c r="AF29" s="1052"/>
      <c r="AG29" s="1052"/>
      <c r="AH29" s="1052"/>
      <c r="AI29" s="1052"/>
      <c r="AJ29" s="1052"/>
      <c r="AK29" s="1052"/>
      <c r="AL29" s="1052"/>
      <c r="AM29" s="1052"/>
      <c r="AN29" s="1064"/>
      <c r="AO29" s="1064"/>
      <c r="AP29" s="1065"/>
    </row>
    <row r="30" spans="2:42" ht="9" customHeight="1">
      <c r="B30" s="1100" t="s">
        <v>997</v>
      </c>
      <c r="C30" s="1101"/>
      <c r="D30" s="1101"/>
      <c r="E30" s="1101"/>
      <c r="F30" s="1101"/>
      <c r="G30" s="1101"/>
      <c r="H30" s="1101"/>
      <c r="I30" s="1101"/>
      <c r="J30" s="1101"/>
      <c r="K30" s="1101"/>
      <c r="L30" s="1101"/>
      <c r="M30" s="1101"/>
      <c r="N30" s="1101"/>
      <c r="O30" s="1101"/>
      <c r="P30" s="1101"/>
      <c r="Q30" s="1101"/>
      <c r="R30" s="1101"/>
      <c r="S30" s="1101"/>
      <c r="T30" s="1101"/>
      <c r="U30" s="1102"/>
      <c r="V30" s="1049" t="str">
        <f>IF(V27&lt;&gt;" ",VLOOKUP(V27,$F$40:$H$70,2)," ")</f>
        <v>Juan Bautista</v>
      </c>
      <c r="W30" s="1050"/>
      <c r="X30" s="1050"/>
      <c r="Y30" s="1050" t="str">
        <f>IF(Y27&lt;&gt;" ",VLOOKUP(Y27,$F$40:$H$70,2)," ")</f>
        <v>Gullermo</v>
      </c>
      <c r="Z30" s="1050"/>
      <c r="AA30" s="1050"/>
      <c r="AB30" s="1050" t="str">
        <f>IF(AB27&lt;&gt;" ",VLOOKUP(AB27,$F$40:$H$70,2)," ")</f>
        <v>Pelayo</v>
      </c>
      <c r="AC30" s="1050"/>
      <c r="AD30" s="1050"/>
      <c r="AE30" s="1050" t="str">
        <f>IF(AE27&lt;&gt;" ",VLOOKUP(AE27,$F$40:$H$70,2)," ")</f>
        <v>N.Sª Socorro</v>
      </c>
      <c r="AF30" s="1050"/>
      <c r="AG30" s="1050"/>
      <c r="AH30" s="1050" t="str">
        <f>IF(AH27&lt;&gt;" ",VLOOKUP(AH27,$F$40:$H$70,2)," ")</f>
        <v>Ireneo</v>
      </c>
      <c r="AI30" s="1050"/>
      <c r="AJ30" s="1050"/>
      <c r="AK30" s="1050" t="str">
        <f>IF(AK27&lt;&gt;" ",VLOOKUP(AK27,$F$40:$H$70,2)," ")</f>
        <v>Pedro y Pablo</v>
      </c>
      <c r="AL30" s="1050"/>
      <c r="AM30" s="1050"/>
      <c r="AN30" s="1050" t="str">
        <f>IF(AN27&lt;&gt;" ",VLOOKUP(AN27,$F$40:$H$70,2)," ")</f>
        <v>Marcial</v>
      </c>
      <c r="AO30" s="1050"/>
      <c r="AP30" s="1066"/>
    </row>
    <row r="31" spans="2:42" ht="10.5" customHeight="1">
      <c r="B31" s="1100"/>
      <c r="C31" s="1101"/>
      <c r="D31" s="1101"/>
      <c r="E31" s="1101"/>
      <c r="F31" s="1101"/>
      <c r="G31" s="1101"/>
      <c r="H31" s="1101"/>
      <c r="I31" s="1101"/>
      <c r="J31" s="1101"/>
      <c r="K31" s="1101"/>
      <c r="L31" s="1101"/>
      <c r="M31" s="1101"/>
      <c r="N31" s="1101"/>
      <c r="O31" s="1101"/>
      <c r="P31" s="1101"/>
      <c r="Q31" s="1101"/>
      <c r="R31" s="1101"/>
      <c r="S31" s="1101"/>
      <c r="T31" s="1101"/>
      <c r="U31" s="1102"/>
      <c r="V31" s="1051" t="str">
        <f>año!K20</f>
        <v xml:space="preserve"> </v>
      </c>
      <c r="W31" s="1052"/>
      <c r="X31" s="1052"/>
      <c r="Y31" s="1052" t="str">
        <f>año!L20</f>
        <v xml:space="preserve"> </v>
      </c>
      <c r="Z31" s="1052"/>
      <c r="AA31" s="1052"/>
      <c r="AB31" s="1052" t="str">
        <f>año!M20</f>
        <v xml:space="preserve"> </v>
      </c>
      <c r="AC31" s="1052"/>
      <c r="AD31" s="1052"/>
      <c r="AE31" s="189"/>
      <c r="AF31" s="194"/>
      <c r="AG31" s="192"/>
      <c r="AH31" s="194"/>
      <c r="AI31" s="194"/>
      <c r="AJ31" s="192"/>
      <c r="AK31" s="194"/>
      <c r="AL31" s="194"/>
      <c r="AM31" s="192"/>
      <c r="AN31" s="193"/>
      <c r="AO31" s="194"/>
      <c r="AP31" s="192"/>
    </row>
    <row r="32" spans="2:42" ht="10.5" customHeight="1">
      <c r="B32" s="1100"/>
      <c r="C32" s="782"/>
      <c r="D32" s="782"/>
      <c r="E32" s="782"/>
      <c r="F32" s="782"/>
      <c r="G32" s="782"/>
      <c r="H32" s="782"/>
      <c r="I32" s="782"/>
      <c r="J32" s="782"/>
      <c r="K32" s="782"/>
      <c r="L32" s="782"/>
      <c r="M32" s="782"/>
      <c r="N32" s="782"/>
      <c r="O32" s="782"/>
      <c r="P32" s="782"/>
      <c r="Q32" s="782"/>
      <c r="R32" s="782"/>
      <c r="S32" s="782"/>
      <c r="T32" s="782"/>
      <c r="U32" s="1102"/>
      <c r="V32" s="1051"/>
      <c r="W32" s="1052"/>
      <c r="X32" s="1052"/>
      <c r="Y32" s="1052"/>
      <c r="Z32" s="1052"/>
      <c r="AA32" s="1052"/>
      <c r="AB32" s="1052"/>
      <c r="AC32" s="1052"/>
      <c r="AD32" s="1052"/>
      <c r="AE32" s="189"/>
      <c r="AF32" s="194"/>
      <c r="AG32" s="192" t="s">
        <v>247</v>
      </c>
      <c r="AH32" s="194"/>
      <c r="AI32" s="194"/>
      <c r="AJ32" s="192" t="s">
        <v>247</v>
      </c>
      <c r="AK32" s="194"/>
      <c r="AL32" s="194"/>
      <c r="AM32" s="192" t="s">
        <v>247</v>
      </c>
      <c r="AN32" s="193"/>
      <c r="AO32" s="194"/>
      <c r="AP32" s="192" t="s">
        <v>247</v>
      </c>
    </row>
    <row r="33" spans="2:47" ht="10.5" customHeight="1">
      <c r="B33" s="1103"/>
      <c r="C33" s="1104"/>
      <c r="D33" s="1104"/>
      <c r="E33" s="1104"/>
      <c r="F33" s="1104"/>
      <c r="G33" s="1104"/>
      <c r="H33" s="1104"/>
      <c r="I33" s="1104"/>
      <c r="J33" s="1104"/>
      <c r="K33" s="1104"/>
      <c r="L33" s="1104"/>
      <c r="M33" s="1104"/>
      <c r="N33" s="1104"/>
      <c r="O33" s="1104"/>
      <c r="P33" s="1104"/>
      <c r="Q33" s="1104"/>
      <c r="R33" s="1104"/>
      <c r="S33" s="1104"/>
      <c r="T33" s="1104"/>
      <c r="U33" s="1105"/>
      <c r="V33" s="1051"/>
      <c r="W33" s="1052"/>
      <c r="X33" s="1052"/>
      <c r="Y33" s="1052"/>
      <c r="Z33" s="1052"/>
      <c r="AA33" s="1052"/>
      <c r="AB33" s="1052"/>
      <c r="AC33" s="1052"/>
      <c r="AD33" s="1052"/>
      <c r="AE33" s="189"/>
      <c r="AF33" s="1067">
        <f>luna!$O$68</f>
        <v>22</v>
      </c>
      <c r="AG33" s="1068"/>
      <c r="AH33" s="194"/>
      <c r="AI33" s="1073">
        <f>luna!$R$68</f>
        <v>29</v>
      </c>
      <c r="AJ33" s="1068"/>
      <c r="AK33" s="194"/>
      <c r="AL33" s="1073">
        <f>luna!$Q$68</f>
        <v>8</v>
      </c>
      <c r="AM33" s="1068"/>
      <c r="AN33" s="193"/>
      <c r="AO33" s="1067">
        <f>luna!$P$68</f>
        <v>15</v>
      </c>
      <c r="AP33" s="1068"/>
    </row>
    <row r="34" spans="2:47" ht="9" customHeight="1">
      <c r="B34" s="179"/>
      <c r="C34" s="180"/>
      <c r="D34" s="180"/>
      <c r="E34" s="180"/>
      <c r="F34" s="180"/>
      <c r="G34" s="180"/>
      <c r="H34" s="180"/>
      <c r="I34" s="180"/>
      <c r="J34" s="180"/>
      <c r="K34" s="180"/>
      <c r="L34" s="180"/>
      <c r="M34" s="180"/>
      <c r="N34" s="180"/>
      <c r="O34" s="180"/>
      <c r="P34" s="180"/>
      <c r="Q34" s="180"/>
      <c r="R34" s="180"/>
      <c r="S34" s="180"/>
      <c r="T34" s="180"/>
      <c r="U34" s="181"/>
      <c r="V34" s="1049" t="str">
        <f>IF(V31&lt;&gt;" ",VLOOKUP(V31,$F$40:$H$70,2)," ")</f>
        <v xml:space="preserve"> </v>
      </c>
      <c r="W34" s="1050"/>
      <c r="X34" s="1050"/>
      <c r="Y34" s="1050" t="str">
        <f>IF(Y31&lt;&gt;" ",VLOOKUP(Y31,$F$40:$H$70,2)," ")</f>
        <v xml:space="preserve"> </v>
      </c>
      <c r="Z34" s="1050"/>
      <c r="AA34" s="1050"/>
      <c r="AB34" s="182"/>
      <c r="AC34" s="182"/>
      <c r="AD34" s="182"/>
      <c r="AE34" s="1078" t="s">
        <v>597</v>
      </c>
      <c r="AF34" s="1079"/>
      <c r="AG34" s="1080"/>
      <c r="AH34" s="1081" t="s">
        <v>598</v>
      </c>
      <c r="AI34" s="1081"/>
      <c r="AJ34" s="1081"/>
      <c r="AK34" s="1081" t="s">
        <v>599</v>
      </c>
      <c r="AL34" s="1081"/>
      <c r="AM34" s="1081"/>
      <c r="AN34" s="1081" t="s">
        <v>600</v>
      </c>
      <c r="AO34" s="1081"/>
      <c r="AP34" s="1081"/>
    </row>
    <row r="35" spans="2:47" ht="13.8" thickBot="1">
      <c r="B35" s="631">
        <f>IF(U41="NO",U40,U41)</f>
        <v>19</v>
      </c>
      <c r="C35" s="406" t="s">
        <v>410</v>
      </c>
      <c r="D35" s="406"/>
      <c r="E35" s="406"/>
      <c r="F35" s="406"/>
      <c r="G35" s="631">
        <f>R44</f>
        <v>12</v>
      </c>
      <c r="H35" s="406" t="s">
        <v>485</v>
      </c>
      <c r="I35" s="406"/>
      <c r="J35" s="406"/>
      <c r="K35" s="632">
        <f>AA3</f>
        <v>4</v>
      </c>
      <c r="L35" s="632">
        <f>AB3</f>
        <v>5</v>
      </c>
      <c r="M35" s="406" t="s">
        <v>986</v>
      </c>
      <c r="N35" s="406"/>
      <c r="O35" s="406"/>
      <c r="P35" s="406"/>
      <c r="Q35" s="406"/>
      <c r="R35" s="406"/>
      <c r="S35" s="406"/>
      <c r="T35" s="385">
        <f>V4</f>
        <v>6</v>
      </c>
      <c r="U35" s="406" t="s">
        <v>964</v>
      </c>
      <c r="V35" s="406"/>
      <c r="W35" s="163"/>
      <c r="X35" s="163"/>
      <c r="Y35" s="163"/>
      <c r="Z35" s="163"/>
      <c r="AA35" s="163"/>
      <c r="AB35" s="163"/>
      <c r="AC35" s="163"/>
      <c r="AD35" s="163"/>
      <c r="AE35" s="163"/>
      <c r="AF35" s="163"/>
      <c r="AG35" s="163"/>
      <c r="AH35" s="163"/>
      <c r="AI35" s="163"/>
      <c r="AJ35" s="163"/>
      <c r="AK35" s="163"/>
      <c r="AL35" s="163"/>
      <c r="AM35" s="163"/>
      <c r="AN35" s="163"/>
      <c r="AO35" s="163"/>
      <c r="AP35" s="164"/>
    </row>
    <row r="36" spans="2:47" ht="16.2" thickBot="1">
      <c r="B36" s="631">
        <f>IF(L47="NO","NO ",DAY(L47))</f>
        <v>2</v>
      </c>
      <c r="C36" s="408" t="s">
        <v>73</v>
      </c>
      <c r="D36" s="408"/>
      <c r="E36" s="408"/>
      <c r="F36" s="408"/>
      <c r="G36" s="409">
        <v>1</v>
      </c>
      <c r="H36" s="408" t="s">
        <v>973</v>
      </c>
      <c r="I36" s="408"/>
      <c r="J36" s="408"/>
      <c r="K36" s="633">
        <v>26</v>
      </c>
      <c r="L36" s="408" t="s">
        <v>746</v>
      </c>
      <c r="M36" s="408"/>
      <c r="N36" s="408"/>
      <c r="O36" s="408"/>
      <c r="P36" s="714">
        <v>24</v>
      </c>
      <c r="Q36" s="408" t="s">
        <v>979</v>
      </c>
      <c r="R36" s="408"/>
      <c r="S36" s="408"/>
      <c r="T36" s="721">
        <v>8</v>
      </c>
      <c r="U36" s="408" t="s">
        <v>978</v>
      </c>
      <c r="V36" s="408"/>
      <c r="W36" s="165"/>
      <c r="X36" s="165"/>
      <c r="Y36" s="165"/>
      <c r="Z36" s="165"/>
      <c r="AA36" s="1089" t="s">
        <v>412</v>
      </c>
      <c r="AB36" s="1090"/>
      <c r="AC36" s="1090"/>
      <c r="AD36" s="1090"/>
      <c r="AE36" s="1090"/>
      <c r="AF36" s="1090"/>
      <c r="AG36" s="1091"/>
      <c r="AH36" s="165"/>
      <c r="AI36" s="1092" t="s">
        <v>411</v>
      </c>
      <c r="AJ36" s="1093"/>
      <c r="AK36" s="1093"/>
      <c r="AL36" s="1093"/>
      <c r="AM36" s="1093"/>
      <c r="AN36" s="1093"/>
      <c r="AO36" s="1094"/>
      <c r="AP36" s="166"/>
    </row>
    <row r="37" spans="2:47" ht="15" customHeight="1">
      <c r="B37" s="628">
        <f>N44</f>
        <v>23</v>
      </c>
      <c r="C37" s="617" t="s">
        <v>735</v>
      </c>
      <c r="D37" s="617"/>
      <c r="E37" s="617"/>
      <c r="F37" s="617"/>
      <c r="G37" s="617"/>
      <c r="H37" s="617"/>
      <c r="I37" s="617"/>
      <c r="J37" s="617"/>
      <c r="K37" s="617"/>
      <c r="L37" s="617"/>
      <c r="M37" s="617"/>
      <c r="N37" s="617"/>
      <c r="O37" s="617"/>
      <c r="P37" s="617"/>
      <c r="Q37" s="617"/>
      <c r="R37" s="617"/>
      <c r="S37" s="617"/>
      <c r="T37" s="617"/>
      <c r="U37" s="617"/>
      <c r="V37" s="617"/>
      <c r="W37" s="168"/>
      <c r="X37" s="168"/>
      <c r="Y37" s="168"/>
      <c r="Z37" s="168"/>
      <c r="AA37" s="168"/>
      <c r="AB37" s="168"/>
      <c r="AC37" s="168"/>
      <c r="AD37" s="168"/>
      <c r="AE37" s="168"/>
      <c r="AF37" s="168"/>
      <c r="AG37" s="168"/>
      <c r="AH37" s="168"/>
      <c r="AI37" s="168"/>
      <c r="AJ37" s="168"/>
      <c r="AK37" s="168"/>
      <c r="AL37" s="168"/>
      <c r="AM37" s="168"/>
      <c r="AN37" s="168"/>
      <c r="AO37" s="168"/>
      <c r="AP37" s="169"/>
    </row>
    <row r="38" spans="2:47" hidden="1">
      <c r="N38">
        <f>MARZO!M38</f>
        <v>8</v>
      </c>
      <c r="O38">
        <f>MARZO!N38</f>
        <v>4</v>
      </c>
      <c r="P38">
        <f>MARZO!O38</f>
        <v>0</v>
      </c>
      <c r="Q38" t="str">
        <f>MARZO!P38</f>
        <v>Dijous Sant</v>
      </c>
      <c r="R38">
        <f>MARZO!Q38</f>
        <v>0</v>
      </c>
      <c r="U38" s="1106">
        <f>calendario!$H$59</f>
        <v>45431</v>
      </c>
      <c r="V38" s="1106"/>
      <c r="W38" s="1106"/>
      <c r="X38" s="1106"/>
      <c r="AD38">
        <f>FEBRERO!AI38</f>
        <v>31</v>
      </c>
      <c r="AE38">
        <f>FEBRERO!AJ38</f>
        <v>29</v>
      </c>
      <c r="AF38">
        <f>FEBRERO!AK38</f>
        <v>0</v>
      </c>
      <c r="AG38" t="str">
        <f>FEBRERO!AL38</f>
        <v>Pasqua</v>
      </c>
      <c r="AJ38">
        <f>FEBRERO!AO38</f>
        <v>14</v>
      </c>
      <c r="AM38">
        <f>FEBRERO!$AO$38</f>
        <v>14</v>
      </c>
    </row>
    <row r="39" spans="2:47" hidden="1">
      <c r="N39" t="str">
        <f>MARZO!M39</f>
        <v>NO</v>
      </c>
      <c r="O39">
        <f>MARZO!N39</f>
        <v>0</v>
      </c>
      <c r="P39">
        <f>MARZO!O39</f>
        <v>0</v>
      </c>
      <c r="Q39">
        <f>MARZO!P39</f>
        <v>0</v>
      </c>
      <c r="R39">
        <f>MARZO!Q39</f>
        <v>0</v>
      </c>
      <c r="U39" s="32">
        <f>DAY(U38)</f>
        <v>19</v>
      </c>
      <c r="V39" s="32">
        <f>MONTH(U38)</f>
        <v>5</v>
      </c>
      <c r="W39" s="31"/>
      <c r="X39" s="31"/>
      <c r="AD39" t="str">
        <f>FEBRERO!AI39</f>
        <v>NO</v>
      </c>
      <c r="AG39" s="1134">
        <f>FEBRERO!AL39</f>
        <v>45382</v>
      </c>
      <c r="AH39" s="1134"/>
    </row>
    <row r="40" spans="2:47" ht="14.4" hidden="1">
      <c r="F40" s="175">
        <v>1</v>
      </c>
      <c r="G40" s="215" t="s">
        <v>871</v>
      </c>
      <c r="N40">
        <f>MARZO!M40</f>
        <v>8</v>
      </c>
      <c r="O40">
        <f>MARZO!N40</f>
        <v>0</v>
      </c>
      <c r="P40">
        <f>MARZO!O40</f>
        <v>0</v>
      </c>
      <c r="Q40">
        <f>MARZO!P40</f>
        <v>0</v>
      </c>
      <c r="R40">
        <f>MARZO!Q40</f>
        <v>0</v>
      </c>
      <c r="U40" s="32">
        <f>IF(V39=5,U39,"NO")</f>
        <v>19</v>
      </c>
      <c r="V40" s="32"/>
      <c r="W40" s="30"/>
      <c r="X40" s="30"/>
      <c r="AU40" s="331"/>
    </row>
    <row r="41" spans="2:47" ht="14.4" hidden="1">
      <c r="F41" s="175">
        <v>2</v>
      </c>
      <c r="G41" s="175" t="s">
        <v>467</v>
      </c>
      <c r="N41" t="str">
        <f>MARZO!M41</f>
        <v>NO</v>
      </c>
      <c r="O41">
        <f>MARZO!N41</f>
        <v>0</v>
      </c>
      <c r="P41">
        <f>MARZO!O41</f>
        <v>0</v>
      </c>
      <c r="Q41">
        <f>MARZO!P41</f>
        <v>0</v>
      </c>
      <c r="R41">
        <f>MARZO!Q41</f>
        <v>0</v>
      </c>
      <c r="U41" s="32" t="str">
        <f>IF(V39=6,U39,"NO")</f>
        <v>NO</v>
      </c>
      <c r="V41" s="32"/>
      <c r="W41" s="30"/>
      <c r="X41" s="30"/>
      <c r="AE41">
        <f>MAYO!AF42</f>
        <v>3</v>
      </c>
      <c r="AF41">
        <f>MAYO!AG42</f>
        <v>4</v>
      </c>
      <c r="AG41">
        <f>MAYO!AH42</f>
        <v>0</v>
      </c>
      <c r="AH41">
        <f>MAYO!AI42</f>
        <v>0</v>
      </c>
      <c r="AU41" s="331"/>
    </row>
    <row r="42" spans="2:47" ht="14.4" hidden="1">
      <c r="F42" s="175">
        <v>3</v>
      </c>
      <c r="G42" s="175" t="s">
        <v>643</v>
      </c>
      <c r="K42" t="s">
        <v>73</v>
      </c>
      <c r="N42" t="s">
        <v>734</v>
      </c>
      <c r="AB42" t="s">
        <v>408</v>
      </c>
      <c r="AE42">
        <f>MAYO!AF43</f>
        <v>4</v>
      </c>
      <c r="AF42">
        <f>MAYO!AG43</f>
        <v>0</v>
      </c>
      <c r="AG42">
        <f>MAYO!AH43</f>
        <v>4</v>
      </c>
      <c r="AH42">
        <f>MAYO!AI43</f>
        <v>4</v>
      </c>
      <c r="AU42" s="331"/>
    </row>
    <row r="43" spans="2:47" ht="14.4" hidden="1">
      <c r="F43" s="175">
        <v>4</v>
      </c>
      <c r="G43" s="175" t="s">
        <v>644</v>
      </c>
      <c r="K43" s="1149">
        <f>calendario!$R$59</f>
        <v>45445</v>
      </c>
      <c r="L43" s="1149"/>
      <c r="M43" s="1149"/>
      <c r="N43" s="1150">
        <f>año!$AJ$34</f>
        <v>45466</v>
      </c>
      <c r="O43" s="1151"/>
      <c r="Q43" t="s">
        <v>731</v>
      </c>
      <c r="V43" t="str">
        <f>calendario!AA65</f>
        <v>JOVENTUT</v>
      </c>
      <c r="AB43" t="s">
        <v>409</v>
      </c>
      <c r="AE43">
        <f>MAYO!AF44</f>
        <v>5</v>
      </c>
      <c r="AF43">
        <f>MAYO!AG44</f>
        <v>0</v>
      </c>
      <c r="AG43">
        <f>MAYO!AH44</f>
        <v>5</v>
      </c>
      <c r="AH43">
        <f>MAYO!AI44</f>
        <v>0</v>
      </c>
      <c r="AU43" s="331"/>
    </row>
    <row r="44" spans="2:47" ht="14.4" hidden="1">
      <c r="F44" s="175">
        <v>5</v>
      </c>
      <c r="G44" s="175" t="s">
        <v>645</v>
      </c>
      <c r="N44">
        <f>DAY(N43)</f>
        <v>23</v>
      </c>
      <c r="R44" s="186">
        <f>año!$U$32</f>
        <v>12</v>
      </c>
      <c r="V44">
        <f>calendario!AA66</f>
        <v>0</v>
      </c>
      <c r="AF44">
        <f>MAYO!AG45</f>
        <v>5</v>
      </c>
      <c r="AG44">
        <f>MAYO!AH45</f>
        <v>0</v>
      </c>
      <c r="AH44">
        <f>MAYO!AI45</f>
        <v>0</v>
      </c>
      <c r="AU44" s="331"/>
    </row>
    <row r="45" spans="2:47" ht="14.4" hidden="1">
      <c r="F45" s="175">
        <v>6</v>
      </c>
      <c r="G45" s="175" t="s">
        <v>488</v>
      </c>
      <c r="L45" s="1147" t="str">
        <f>año!AM30</f>
        <v>CORPUS</v>
      </c>
      <c r="M45" s="1147"/>
      <c r="Q45" s="186">
        <f>año!AI30</f>
        <v>12</v>
      </c>
      <c r="S45">
        <f>año!AK30</f>
        <v>0</v>
      </c>
      <c r="V45">
        <f>calendario!AA67</f>
        <v>12</v>
      </c>
      <c r="AU45" s="331"/>
    </row>
    <row r="46" spans="2:47" ht="14.4" hidden="1">
      <c r="F46" s="175">
        <v>7</v>
      </c>
      <c r="G46" s="175" t="s">
        <v>489</v>
      </c>
      <c r="L46" t="str">
        <f>año!AM31</f>
        <v>NO</v>
      </c>
      <c r="M46">
        <f>año!AN31</f>
        <v>0</v>
      </c>
      <c r="N46" s="1138"/>
      <c r="O46" s="1147"/>
      <c r="Q46" s="186" t="str">
        <f>año!AI31</f>
        <v>NO</v>
      </c>
      <c r="R46" s="1148">
        <f>año!AJ31</f>
        <v>45424</v>
      </c>
      <c r="S46" s="1148"/>
      <c r="V46">
        <f>calendario!AA68</f>
        <v>13</v>
      </c>
      <c r="AU46" s="331"/>
    </row>
    <row r="47" spans="2:47" ht="14.4" hidden="1">
      <c r="F47" s="175">
        <v>8</v>
      </c>
      <c r="G47" s="175" t="s">
        <v>490</v>
      </c>
      <c r="L47">
        <f>año!AM32</f>
        <v>2</v>
      </c>
      <c r="M47">
        <f>año!AN32</f>
        <v>0</v>
      </c>
      <c r="AU47" s="331"/>
    </row>
    <row r="48" spans="2:47" ht="14.4" hidden="1">
      <c r="F48" s="175">
        <v>9</v>
      </c>
      <c r="G48" s="175" t="s">
        <v>491</v>
      </c>
      <c r="AU48" s="331"/>
    </row>
    <row r="49" spans="6:47" ht="14.4" hidden="1">
      <c r="F49" s="175">
        <v>10</v>
      </c>
      <c r="G49" s="175" t="s">
        <v>527</v>
      </c>
      <c r="AU49" s="331"/>
    </row>
    <row r="50" spans="6:47" ht="14.4" hidden="1">
      <c r="F50" s="175">
        <v>11</v>
      </c>
      <c r="G50" s="175" t="s">
        <v>492</v>
      </c>
      <c r="O50" s="215" t="str">
        <f>MAYO!O51</f>
        <v>1erVac</v>
      </c>
      <c r="P50" s="215">
        <f>MAYO!P51</f>
        <v>28</v>
      </c>
      <c r="Q50" s="215">
        <f>MAYO!Q51</f>
        <v>28</v>
      </c>
      <c r="R50" s="215">
        <f>MAYO!R51</f>
        <v>1</v>
      </c>
      <c r="S50" s="215" t="str">
        <f>MAYO!S51</f>
        <v>no</v>
      </c>
      <c r="T50" s="215" t="str">
        <f>MAYO!T51</f>
        <v>no</v>
      </c>
      <c r="U50" s="215" t="str">
        <f>MAYO!U51</f>
        <v>no</v>
      </c>
      <c r="AU50" s="331"/>
    </row>
    <row r="51" spans="6:47" ht="14.4" hidden="1">
      <c r="F51" s="175">
        <v>12</v>
      </c>
      <c r="G51" s="175" t="s">
        <v>646</v>
      </c>
      <c r="O51" s="215" t="str">
        <f>MAYO!O52</f>
        <v>Darrer</v>
      </c>
      <c r="P51" s="215">
        <f>MAYO!P52</f>
        <v>31</v>
      </c>
      <c r="Q51" s="215">
        <f>MAYO!Q52</f>
        <v>31</v>
      </c>
      <c r="R51" s="215">
        <f>MAYO!R52</f>
        <v>8</v>
      </c>
      <c r="S51" s="215" t="str">
        <f>MAYO!S52</f>
        <v>no</v>
      </c>
      <c r="T51" s="215" t="str">
        <f>MAYO!T52</f>
        <v>no</v>
      </c>
      <c r="U51" s="215" t="str">
        <f>MAYO!U52</f>
        <v>no</v>
      </c>
      <c r="AU51" s="331"/>
    </row>
    <row r="52" spans="6:47" ht="14.4" hidden="1">
      <c r="F52" s="175">
        <v>13</v>
      </c>
      <c r="G52" s="175" t="s">
        <v>647</v>
      </c>
      <c r="AU52" s="331"/>
    </row>
    <row r="53" spans="6:47" ht="14.4" hidden="1">
      <c r="F53" s="175">
        <v>14</v>
      </c>
      <c r="G53" s="175" t="s">
        <v>648</v>
      </c>
      <c r="AU53" s="331"/>
    </row>
    <row r="54" spans="6:47" ht="14.4" hidden="1">
      <c r="F54" s="175">
        <v>15</v>
      </c>
      <c r="G54" s="175" t="s">
        <v>493</v>
      </c>
      <c r="AU54" s="331"/>
    </row>
    <row r="55" spans="6:47" ht="14.4" hidden="1">
      <c r="F55" s="175">
        <v>16</v>
      </c>
      <c r="G55" s="175" t="s">
        <v>649</v>
      </c>
      <c r="AU55" s="331"/>
    </row>
    <row r="56" spans="6:47" ht="14.4" hidden="1">
      <c r="F56" s="175">
        <v>17</v>
      </c>
      <c r="G56" s="175" t="s">
        <v>494</v>
      </c>
      <c r="AU56" s="331"/>
    </row>
    <row r="57" spans="6:47" ht="14.4" hidden="1">
      <c r="F57" s="175">
        <v>18</v>
      </c>
      <c r="G57" s="175" t="s">
        <v>650</v>
      </c>
      <c r="AU57" s="331"/>
    </row>
    <row r="58" spans="6:47" ht="14.4" hidden="1">
      <c r="F58" s="175">
        <v>19</v>
      </c>
      <c r="G58" s="175" t="s">
        <v>651</v>
      </c>
      <c r="AU58" s="331"/>
    </row>
    <row r="59" spans="6:47" ht="14.4" hidden="1">
      <c r="F59" s="175">
        <v>20</v>
      </c>
      <c r="G59" s="175" t="s">
        <v>652</v>
      </c>
      <c r="AU59" s="331"/>
    </row>
    <row r="60" spans="6:47" ht="14.4" hidden="1">
      <c r="F60" s="175">
        <v>21</v>
      </c>
      <c r="G60" s="215" t="s">
        <v>956</v>
      </c>
      <c r="AU60" s="331"/>
    </row>
    <row r="61" spans="6:47" ht="14.4" hidden="1">
      <c r="F61" s="175">
        <v>22</v>
      </c>
      <c r="G61" s="175" t="s">
        <v>653</v>
      </c>
      <c r="AU61" s="331"/>
    </row>
    <row r="62" spans="6:47" ht="14.4" hidden="1">
      <c r="F62" s="175">
        <v>23</v>
      </c>
      <c r="G62" s="175" t="s">
        <v>495</v>
      </c>
      <c r="AU62" s="331"/>
    </row>
    <row r="63" spans="6:47" ht="14.4" hidden="1">
      <c r="F63" s="175">
        <v>24</v>
      </c>
      <c r="G63" s="175" t="s">
        <v>496</v>
      </c>
      <c r="AU63" s="331"/>
    </row>
    <row r="64" spans="6:47" ht="14.4" hidden="1">
      <c r="F64" s="175">
        <v>25</v>
      </c>
      <c r="G64" s="175" t="s">
        <v>497</v>
      </c>
      <c r="AU64" s="331"/>
    </row>
    <row r="65" spans="6:47" ht="14.4" hidden="1">
      <c r="F65" s="175">
        <v>26</v>
      </c>
      <c r="G65" s="175" t="s">
        <v>498</v>
      </c>
      <c r="AU65" s="331"/>
    </row>
    <row r="66" spans="6:47" ht="14.4" hidden="1">
      <c r="F66" s="175">
        <v>27</v>
      </c>
      <c r="G66" s="215" t="s">
        <v>957</v>
      </c>
      <c r="AU66" s="331"/>
    </row>
    <row r="67" spans="6:47" ht="14.4" hidden="1">
      <c r="F67" s="175">
        <v>28</v>
      </c>
      <c r="G67" s="175" t="s">
        <v>499</v>
      </c>
      <c r="AU67" s="331"/>
    </row>
    <row r="68" spans="6:47" ht="14.4" hidden="1">
      <c r="F68" s="175">
        <v>29</v>
      </c>
      <c r="G68" s="175" t="s">
        <v>500</v>
      </c>
      <c r="AU68" s="331"/>
    </row>
    <row r="69" spans="6:47" ht="14.4" hidden="1">
      <c r="F69" s="175">
        <v>30</v>
      </c>
      <c r="G69" s="175" t="s">
        <v>501</v>
      </c>
      <c r="AU69" s="331"/>
    </row>
    <row r="70" spans="6:47" hidden="1">
      <c r="F70" s="175">
        <v>31</v>
      </c>
      <c r="G70" s="175"/>
    </row>
  </sheetData>
  <customSheetViews>
    <customSheetView guid="{93FD35E9-1E2C-4BB9-BB5F-2E73C17EC4AF}" scale="115" showGridLines="0" showRowCol="0" outlineSymbols="0" zeroValues="0" hiddenRows="1">
      <selection activeCell="V1" sqref="V1:Z1"/>
      <pageMargins left="0.75" right="0.75" top="1" bottom="1" header="0" footer="0"/>
      <pageSetup paperSize="9" orientation="portrait" r:id="rId1"/>
      <headerFooter alignWithMargins="0"/>
    </customSheetView>
  </customSheetViews>
  <mergeCells count="107">
    <mergeCell ref="U38:X38"/>
    <mergeCell ref="V34:X34"/>
    <mergeCell ref="Y34:AA34"/>
    <mergeCell ref="AH34:AJ34"/>
    <mergeCell ref="AE34:AG34"/>
    <mergeCell ref="AH30:AJ30"/>
    <mergeCell ref="AK30:AM30"/>
    <mergeCell ref="AN30:AP30"/>
    <mergeCell ref="AI33:AJ33"/>
    <mergeCell ref="B30:U33"/>
    <mergeCell ref="V23:X25"/>
    <mergeCell ref="Y23:AA25"/>
    <mergeCell ref="AB23:AD25"/>
    <mergeCell ref="AE23:AG25"/>
    <mergeCell ref="AH23:AJ25"/>
    <mergeCell ref="AK23:AM25"/>
    <mergeCell ref="AN23:AP25"/>
    <mergeCell ref="V22:X22"/>
    <mergeCell ref="AI36:AO36"/>
    <mergeCell ref="V27:X29"/>
    <mergeCell ref="V26:X26"/>
    <mergeCell ref="AK26:AM26"/>
    <mergeCell ref="AN26:AP26"/>
    <mergeCell ref="Y22:AA22"/>
    <mergeCell ref="AB22:AD22"/>
    <mergeCell ref="Y19:AA21"/>
    <mergeCell ref="AB19:AD21"/>
    <mergeCell ref="AE19:AG21"/>
    <mergeCell ref="AH19:AJ21"/>
    <mergeCell ref="AK27:AM29"/>
    <mergeCell ref="AN27:AP29"/>
    <mergeCell ref="AL33:AM33"/>
    <mergeCell ref="AO33:AP33"/>
    <mergeCell ref="AK34:AM34"/>
    <mergeCell ref="AN34:AP34"/>
    <mergeCell ref="AK19:AM21"/>
    <mergeCell ref="AN19:AP21"/>
    <mergeCell ref="AK22:AM22"/>
    <mergeCell ref="AE22:AG22"/>
    <mergeCell ref="AH22:AJ22"/>
    <mergeCell ref="Y27:AA29"/>
    <mergeCell ref="AB27:AD29"/>
    <mergeCell ref="AE27:AG29"/>
    <mergeCell ref="AH27:AJ29"/>
    <mergeCell ref="AN22:AP22"/>
    <mergeCell ref="Y26:AA26"/>
    <mergeCell ref="AB26:AD26"/>
    <mergeCell ref="AE26:AG26"/>
    <mergeCell ref="AH26:AJ26"/>
    <mergeCell ref="AN18:AP18"/>
    <mergeCell ref="AN10:AP10"/>
    <mergeCell ref="AN11:AP13"/>
    <mergeCell ref="V1:Z1"/>
    <mergeCell ref="AA1:AB1"/>
    <mergeCell ref="AJ1:AN1"/>
    <mergeCell ref="V11:X13"/>
    <mergeCell ref="Y11:AA13"/>
    <mergeCell ref="V10:X10"/>
    <mergeCell ref="Y10:AA10"/>
    <mergeCell ref="AB10:AD10"/>
    <mergeCell ref="AE10:AG10"/>
    <mergeCell ref="AK11:AM13"/>
    <mergeCell ref="AO1:AP1"/>
    <mergeCell ref="AD2:AH4"/>
    <mergeCell ref="AD5:AH7"/>
    <mergeCell ref="AH10:AJ10"/>
    <mergeCell ref="AK10:AM10"/>
    <mergeCell ref="AK18:AM18"/>
    <mergeCell ref="V14:X14"/>
    <mergeCell ref="Y14:AA14"/>
    <mergeCell ref="V15:X17"/>
    <mergeCell ref="Y15:AA17"/>
    <mergeCell ref="AB14:AD14"/>
    <mergeCell ref="AH14:AJ14"/>
    <mergeCell ref="AE14:AG14"/>
    <mergeCell ref="AK14:AM14"/>
    <mergeCell ref="AH15:AJ17"/>
    <mergeCell ref="AK15:AM17"/>
    <mergeCell ref="AN15:AP17"/>
    <mergeCell ref="AB15:AD17"/>
    <mergeCell ref="AN14:AP14"/>
    <mergeCell ref="AH11:AJ13"/>
    <mergeCell ref="AE15:AG17"/>
    <mergeCell ref="V19:X21"/>
    <mergeCell ref="V18:X18"/>
    <mergeCell ref="B1:U3"/>
    <mergeCell ref="N46:O46"/>
    <mergeCell ref="R46:S46"/>
    <mergeCell ref="AB30:AD30"/>
    <mergeCell ref="AE30:AG30"/>
    <mergeCell ref="AB31:AD33"/>
    <mergeCell ref="L45:M45"/>
    <mergeCell ref="V30:X30"/>
    <mergeCell ref="Y30:AA30"/>
    <mergeCell ref="AF33:AG33"/>
    <mergeCell ref="V31:X33"/>
    <mergeCell ref="Y31:AA33"/>
    <mergeCell ref="K43:M43"/>
    <mergeCell ref="AA36:AG36"/>
    <mergeCell ref="AG39:AH39"/>
    <mergeCell ref="Y18:AA18"/>
    <mergeCell ref="AB18:AD18"/>
    <mergeCell ref="AE18:AG18"/>
    <mergeCell ref="AH18:AJ18"/>
    <mergeCell ref="AB11:AD13"/>
    <mergeCell ref="AE11:AG13"/>
    <mergeCell ref="N43:O43"/>
  </mergeCells>
  <phoneticPr fontId="24" type="noConversion"/>
  <conditionalFormatting sqref="V3:V8">
    <cfRule type="cellIs" dxfId="107" priority="8" stopIfTrue="1" operator="equal">
      <formula>$N$40</formula>
    </cfRule>
    <cfRule type="cellIs" dxfId="106" priority="10" stopIfTrue="1" operator="equal">
      <formula>$N$38</formula>
    </cfRule>
  </conditionalFormatting>
  <conditionalFormatting sqref="V3:V7">
    <cfRule type="cellIs" dxfId="105" priority="9" stopIfTrue="1" operator="equal">
      <formula>$N$41</formula>
    </cfRule>
  </conditionalFormatting>
  <conditionalFormatting sqref="AN11:AP25 AE11:AG22 AE26:AG29">
    <cfRule type="cellIs" dxfId="104" priority="25" stopIfTrue="1" operator="equal">
      <formula>$Q$46</formula>
    </cfRule>
    <cfRule type="cellIs" dxfId="103" priority="28" stopIfTrue="1" operator="equal">
      <formula>$L$47</formula>
    </cfRule>
  </conditionalFormatting>
  <conditionalFormatting sqref="Y3:Y8">
    <cfRule type="cellIs" dxfId="102" priority="26" stopIfTrue="1" operator="equal">
      <formula>$L$46</formula>
    </cfRule>
  </conditionalFormatting>
  <conditionalFormatting sqref="AJ7:AM7 AN6:AP6">
    <cfRule type="cellIs" dxfId="101" priority="32" stopIfTrue="1" operator="equal">
      <formula>26</formula>
    </cfRule>
  </conditionalFormatting>
  <conditionalFormatting sqref="V3:AB3">
    <cfRule type="cellIs" dxfId="100" priority="4" stopIfTrue="1" operator="equal">
      <formula>$AE$43</formula>
    </cfRule>
    <cfRule type="cellIs" dxfId="99" priority="5" stopIfTrue="1" operator="equal">
      <formula>1</formula>
    </cfRule>
  </conditionalFormatting>
  <conditionalFormatting sqref="V3:AB3 V4">
    <cfRule type="cellIs" dxfId="98" priority="27" stopIfTrue="1" operator="between">
      <formula>$U$50</formula>
      <formula>$U$51</formula>
    </cfRule>
  </conditionalFormatting>
  <conditionalFormatting sqref="V3:AB8">
    <cfRule type="cellIs" dxfId="97" priority="3" operator="equal">
      <formula>$AF$44</formula>
    </cfRule>
  </conditionalFormatting>
  <conditionalFormatting sqref="AB3:AB7">
    <cfRule type="cellIs" dxfId="96" priority="11" stopIfTrue="1" operator="equal">
      <formula>$U$40</formula>
    </cfRule>
    <cfRule type="cellIs" dxfId="95" priority="19" stopIfTrue="1" operator="equal">
      <formula>$B$36</formula>
    </cfRule>
    <cfRule type="cellIs" dxfId="94" priority="20" stopIfTrue="1" operator="equal">
      <formula>$G$35</formula>
    </cfRule>
  </conditionalFormatting>
  <conditionalFormatting sqref="Y3:Y7">
    <cfRule type="cellIs" dxfId="93" priority="21" stopIfTrue="1" operator="equal">
      <formula>$Q$45</formula>
    </cfRule>
  </conditionalFormatting>
  <conditionalFormatting sqref="AN11:AP21 AE11:AG22 AE26:AG29">
    <cfRule type="cellIs" dxfId="92" priority="23" stopIfTrue="1" operator="equal">
      <formula>$G$35</formula>
    </cfRule>
  </conditionalFormatting>
  <conditionalFormatting sqref="AN11:AP25 AE11:AG22 AE26:AG29">
    <cfRule type="cellIs" dxfId="91" priority="31" stopIfTrue="1" operator="equal">
      <formula>$U$41</formula>
    </cfRule>
  </conditionalFormatting>
  <conditionalFormatting sqref="AN11:AP29">
    <cfRule type="cellIs" dxfId="90" priority="2" operator="equal">
      <formula>$B$37</formula>
    </cfRule>
  </conditionalFormatting>
  <conditionalFormatting sqref="AJ3">
    <cfRule type="cellIs" dxfId="89" priority="1" operator="equal">
      <formula>$B$37</formula>
    </cfRule>
  </conditionalFormatting>
  <hyperlinks>
    <hyperlink ref="AD5:AH7" location="año!A1" display="año!A1"/>
    <hyperlink ref="V1:Z1" location="MAYO!A1" display="MAYO!A1"/>
    <hyperlink ref="AJ1:AN1" location="JULIO!A1" display="JULIO!A1"/>
    <hyperlink ref="AI36:AO36" location="PORTADA!A1" display="IR A PORTADA"/>
    <hyperlink ref="AA36:AG36" location="año!A1" display="IR A AÑO COMPLETO"/>
  </hyperlinks>
  <pageMargins left="0.75" right="0.75" top="1" bottom="1" header="0" footer="0"/>
  <pageSetup paperSize="9"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sheetPr codeName="Hoja13"/>
  <dimension ref="A1:AR70"/>
  <sheetViews>
    <sheetView showGridLines="0" showRowColHeaders="0" showZeros="0" showOutlineSymbols="0" zoomScale="125" zoomScaleNormal="125" workbookViewId="0">
      <selection activeCell="AT12" sqref="AT12"/>
    </sheetView>
  </sheetViews>
  <sheetFormatPr baseColWidth="10" defaultColWidth="3.33203125" defaultRowHeight="13.2"/>
  <cols>
    <col min="14" max="14" width="4.109375" customWidth="1"/>
  </cols>
  <sheetData>
    <row r="1" spans="1:42" ht="10.5" customHeight="1" thickBot="1">
      <c r="A1" s="166"/>
      <c r="B1" s="397"/>
      <c r="C1" s="345"/>
      <c r="D1" s="345"/>
      <c r="E1" s="345"/>
      <c r="F1" s="345"/>
      <c r="G1" s="345"/>
      <c r="H1" s="345"/>
      <c r="I1" s="345"/>
      <c r="J1" s="345"/>
      <c r="K1" s="345"/>
      <c r="L1" s="345"/>
      <c r="M1" s="345"/>
      <c r="N1" s="345"/>
      <c r="O1" s="345"/>
      <c r="P1" s="345"/>
      <c r="Q1" s="345"/>
      <c r="R1" s="345"/>
      <c r="S1" s="345"/>
      <c r="T1" s="345"/>
      <c r="U1" s="345"/>
      <c r="V1" s="1055" t="str">
        <f>año!$AA$4</f>
        <v>ABRIL</v>
      </c>
      <c r="W1" s="1056"/>
      <c r="X1" s="1056"/>
      <c r="Y1" s="1056"/>
      <c r="Z1" s="1056"/>
      <c r="AA1" s="1057">
        <f>año!$O$1</f>
        <v>2024</v>
      </c>
      <c r="AB1" s="1058"/>
      <c r="AJ1" s="1055" t="str">
        <f>año!$K$13</f>
        <v>JUNIO</v>
      </c>
      <c r="AK1" s="1056"/>
      <c r="AL1" s="1056"/>
      <c r="AM1" s="1056"/>
      <c r="AN1" s="1056"/>
      <c r="AO1" s="1098">
        <f>año!$O$1</f>
        <v>2024</v>
      </c>
      <c r="AP1" s="1099"/>
    </row>
    <row r="2" spans="1:42" ht="9" customHeight="1" thickBot="1">
      <c r="A2" s="166"/>
      <c r="B2" s="1132" t="s">
        <v>991</v>
      </c>
      <c r="C2" s="1132"/>
      <c r="D2" s="1132"/>
      <c r="E2" s="1132"/>
      <c r="F2" s="1132"/>
      <c r="G2" s="1132"/>
      <c r="H2" s="1132"/>
      <c r="I2" s="1132"/>
      <c r="J2" s="1132"/>
      <c r="K2" s="1132"/>
      <c r="L2" s="1132"/>
      <c r="M2" s="1132"/>
      <c r="N2" s="1132"/>
      <c r="O2" s="1132"/>
      <c r="P2" s="1132"/>
      <c r="Q2" s="1132"/>
      <c r="R2" s="1132"/>
      <c r="S2" s="1132"/>
      <c r="T2" s="1132"/>
      <c r="U2" s="1133"/>
      <c r="V2" s="119" t="s">
        <v>20</v>
      </c>
      <c r="W2" s="120" t="s">
        <v>17</v>
      </c>
      <c r="X2" s="120" t="s">
        <v>29</v>
      </c>
      <c r="Y2" s="120" t="s">
        <v>24</v>
      </c>
      <c r="Z2" s="120" t="s">
        <v>12</v>
      </c>
      <c r="AA2" s="120" t="s">
        <v>7</v>
      </c>
      <c r="AB2" s="121" t="s">
        <v>15</v>
      </c>
      <c r="AD2" s="1126" t="str">
        <f>año!$C$13</f>
        <v>MAYO</v>
      </c>
      <c r="AE2" s="1126"/>
      <c r="AF2" s="1126"/>
      <c r="AG2" s="1126"/>
      <c r="AH2" s="1126"/>
      <c r="AJ2" s="119" t="s">
        <v>20</v>
      </c>
      <c r="AK2" s="120" t="s">
        <v>17</v>
      </c>
      <c r="AL2" s="120" t="s">
        <v>29</v>
      </c>
      <c r="AM2" s="120" t="s">
        <v>24</v>
      </c>
      <c r="AN2" s="120" t="s">
        <v>12</v>
      </c>
      <c r="AO2" s="120" t="s">
        <v>7</v>
      </c>
      <c r="AP2" s="121" t="s">
        <v>15</v>
      </c>
    </row>
    <row r="3" spans="1:42" ht="9" customHeight="1">
      <c r="A3" s="166"/>
      <c r="B3" s="1132"/>
      <c r="C3" s="1132"/>
      <c r="D3" s="1132"/>
      <c r="E3" s="1132"/>
      <c r="F3" s="1132"/>
      <c r="G3" s="1132"/>
      <c r="H3" s="1132"/>
      <c r="I3" s="1132"/>
      <c r="J3" s="1132"/>
      <c r="K3" s="1132"/>
      <c r="L3" s="1132"/>
      <c r="M3" s="1132"/>
      <c r="N3" s="1132"/>
      <c r="O3" s="1132"/>
      <c r="P3" s="1132"/>
      <c r="Q3" s="1132"/>
      <c r="R3" s="1132"/>
      <c r="S3" s="1132"/>
      <c r="T3" s="1132"/>
      <c r="U3" s="1133"/>
      <c r="V3" s="135">
        <f>año!AA6</f>
        <v>1</v>
      </c>
      <c r="W3" s="123">
        <f>año!AB6</f>
        <v>2</v>
      </c>
      <c r="X3" s="123">
        <f>año!AC6</f>
        <v>3</v>
      </c>
      <c r="Y3" s="123">
        <f>año!AD6</f>
        <v>4</v>
      </c>
      <c r="Z3" s="123">
        <f>año!AE6</f>
        <v>5</v>
      </c>
      <c r="AA3" s="123">
        <f>año!AF6</f>
        <v>6</v>
      </c>
      <c r="AB3" s="132">
        <f>año!AG6</f>
        <v>7</v>
      </c>
      <c r="AD3" s="1126"/>
      <c r="AE3" s="1126"/>
      <c r="AF3" s="1126"/>
      <c r="AG3" s="1126"/>
      <c r="AH3" s="1126"/>
      <c r="AJ3" s="128" t="str">
        <f>año!K15</f>
        <v xml:space="preserve"> </v>
      </c>
      <c r="AK3" s="129" t="str">
        <f>año!L15</f>
        <v xml:space="preserve"> </v>
      </c>
      <c r="AL3" s="129" t="str">
        <f>año!M15</f>
        <v xml:space="preserve"> </v>
      </c>
      <c r="AM3" s="129" t="str">
        <f>año!N15</f>
        <v xml:space="preserve"> </v>
      </c>
      <c r="AN3" s="129" t="str">
        <f>año!O15</f>
        <v xml:space="preserve"> </v>
      </c>
      <c r="AO3" s="418">
        <f>año!P15</f>
        <v>1</v>
      </c>
      <c r="AP3" s="132">
        <f>año!Q15</f>
        <v>2</v>
      </c>
    </row>
    <row r="4" spans="1:42" ht="9" customHeight="1">
      <c r="A4" s="166"/>
      <c r="B4" s="1132"/>
      <c r="C4" s="1132"/>
      <c r="D4" s="1132"/>
      <c r="E4" s="1132"/>
      <c r="F4" s="1132"/>
      <c r="G4" s="1132"/>
      <c r="H4" s="1132"/>
      <c r="I4" s="1132"/>
      <c r="J4" s="1132"/>
      <c r="K4" s="1132"/>
      <c r="L4" s="1132"/>
      <c r="M4" s="1132"/>
      <c r="N4" s="1132"/>
      <c r="O4" s="1132"/>
      <c r="P4" s="1132"/>
      <c r="Q4" s="1132"/>
      <c r="R4" s="1132"/>
      <c r="S4" s="1132"/>
      <c r="T4" s="1132"/>
      <c r="U4" s="1133"/>
      <c r="V4" s="124">
        <f>año!AA7</f>
        <v>8</v>
      </c>
      <c r="W4" s="125">
        <f>año!AB7</f>
        <v>9</v>
      </c>
      <c r="X4" s="125">
        <f>año!AC7</f>
        <v>10</v>
      </c>
      <c r="Y4" s="125">
        <f>año!AD7</f>
        <v>11</v>
      </c>
      <c r="Z4" s="125">
        <f>año!AE7</f>
        <v>12</v>
      </c>
      <c r="AA4" s="125">
        <f>año!AF7</f>
        <v>13</v>
      </c>
      <c r="AB4" s="133">
        <f>año!AG7</f>
        <v>14</v>
      </c>
      <c r="AD4" s="1126"/>
      <c r="AE4" s="1126"/>
      <c r="AF4" s="1126"/>
      <c r="AG4" s="1126"/>
      <c r="AH4" s="1126"/>
      <c r="AJ4" s="130">
        <f>año!K16</f>
        <v>3</v>
      </c>
      <c r="AK4" s="131">
        <f>año!L16</f>
        <v>4</v>
      </c>
      <c r="AL4" s="131">
        <f>año!M16</f>
        <v>5</v>
      </c>
      <c r="AM4" s="131">
        <f>año!N16</f>
        <v>6</v>
      </c>
      <c r="AN4" s="131">
        <f>año!O16</f>
        <v>7</v>
      </c>
      <c r="AO4" s="419">
        <f>año!P16</f>
        <v>8</v>
      </c>
      <c r="AP4" s="133">
        <f>año!Q16</f>
        <v>9</v>
      </c>
    </row>
    <row r="5" spans="1:42" ht="9" customHeight="1">
      <c r="A5" s="166"/>
      <c r="D5" s="344"/>
      <c r="E5" s="344"/>
      <c r="F5" s="344"/>
      <c r="G5" s="344"/>
      <c r="H5" s="344"/>
      <c r="I5" s="344"/>
      <c r="J5" s="344"/>
      <c r="K5" s="344"/>
      <c r="L5" s="344"/>
      <c r="M5" s="344"/>
      <c r="N5" s="344"/>
      <c r="O5" s="344"/>
      <c r="P5" s="344"/>
      <c r="Q5" s="344"/>
      <c r="R5" s="344"/>
      <c r="S5" s="344"/>
      <c r="T5" s="344"/>
      <c r="U5" s="347"/>
      <c r="V5" s="124">
        <f>año!AA8</f>
        <v>15</v>
      </c>
      <c r="W5" s="125">
        <f>año!AB8</f>
        <v>16</v>
      </c>
      <c r="X5" s="125">
        <f>año!AC8</f>
        <v>17</v>
      </c>
      <c r="Y5" s="125">
        <f>año!AD8</f>
        <v>18</v>
      </c>
      <c r="Z5" s="125">
        <f>año!AE8</f>
        <v>19</v>
      </c>
      <c r="AA5" s="125">
        <f>año!AF8</f>
        <v>20</v>
      </c>
      <c r="AB5" s="133">
        <f>año!AG8</f>
        <v>21</v>
      </c>
      <c r="AD5" s="1044">
        <f>año!$O$1</f>
        <v>2024</v>
      </c>
      <c r="AE5" s="1045"/>
      <c r="AF5" s="1045"/>
      <c r="AG5" s="1045"/>
      <c r="AH5" s="1045"/>
      <c r="AJ5" s="130">
        <f>año!K17</f>
        <v>10</v>
      </c>
      <c r="AK5" s="131">
        <f>año!L17</f>
        <v>11</v>
      </c>
      <c r="AL5" s="131">
        <f>año!M17</f>
        <v>12</v>
      </c>
      <c r="AM5" s="131">
        <f>año!N17</f>
        <v>13</v>
      </c>
      <c r="AN5" s="131">
        <f>año!O17</f>
        <v>14</v>
      </c>
      <c r="AO5" s="131">
        <f>año!P17</f>
        <v>15</v>
      </c>
      <c r="AP5" s="133">
        <f>año!Q17</f>
        <v>16</v>
      </c>
    </row>
    <row r="6" spans="1:42" ht="9" customHeight="1">
      <c r="B6" s="350"/>
      <c r="C6" s="344"/>
      <c r="D6" s="344"/>
      <c r="E6" s="344"/>
      <c r="F6" s="344"/>
      <c r="G6" s="344"/>
      <c r="H6" s="344"/>
      <c r="I6" s="344"/>
      <c r="J6" s="344"/>
      <c r="K6" s="344"/>
      <c r="L6" s="344"/>
      <c r="M6" s="344"/>
      <c r="N6" s="344"/>
      <c r="O6" s="344"/>
      <c r="P6" s="344"/>
      <c r="Q6" s="344"/>
      <c r="R6" s="344"/>
      <c r="S6" s="344"/>
      <c r="T6" s="344"/>
      <c r="U6" s="347"/>
      <c r="V6" s="124">
        <f>año!AA9</f>
        <v>22</v>
      </c>
      <c r="W6" s="125">
        <f>año!AB9</f>
        <v>23</v>
      </c>
      <c r="X6" s="125">
        <f>año!AC9</f>
        <v>24</v>
      </c>
      <c r="Y6" s="125">
        <f>año!AD9</f>
        <v>25</v>
      </c>
      <c r="Z6" s="125">
        <f>año!AE9</f>
        <v>26</v>
      </c>
      <c r="AA6" s="125">
        <f>año!AF9</f>
        <v>27</v>
      </c>
      <c r="AB6" s="133">
        <f>año!AG9</f>
        <v>28</v>
      </c>
      <c r="AD6" s="1045"/>
      <c r="AE6" s="1045"/>
      <c r="AF6" s="1045"/>
      <c r="AG6" s="1045"/>
      <c r="AH6" s="1045"/>
      <c r="AJ6" s="130">
        <f>año!K18</f>
        <v>17</v>
      </c>
      <c r="AK6" s="131">
        <f>año!L18</f>
        <v>18</v>
      </c>
      <c r="AL6" s="131">
        <f>año!M18</f>
        <v>19</v>
      </c>
      <c r="AM6" s="399">
        <f>año!N18</f>
        <v>20</v>
      </c>
      <c r="AN6" s="131">
        <f>año!O18</f>
        <v>21</v>
      </c>
      <c r="AO6" s="392">
        <f>año!P18</f>
        <v>22</v>
      </c>
      <c r="AP6" s="719">
        <f>año!Q18</f>
        <v>23</v>
      </c>
    </row>
    <row r="7" spans="1:42" ht="9" customHeight="1">
      <c r="B7" s="350"/>
      <c r="C7" s="344"/>
      <c r="D7" s="344"/>
      <c r="E7" s="344"/>
      <c r="F7" s="344"/>
      <c r="G7" s="344"/>
      <c r="H7" s="344"/>
      <c r="I7" s="344"/>
      <c r="J7" s="344"/>
      <c r="K7" s="344"/>
      <c r="L7" s="344"/>
      <c r="M7" s="344"/>
      <c r="N7" s="344"/>
      <c r="O7" s="344"/>
      <c r="P7" s="344"/>
      <c r="Q7" s="344"/>
      <c r="R7" s="344"/>
      <c r="S7" s="344"/>
      <c r="T7" s="344"/>
      <c r="U7" s="347"/>
      <c r="V7" s="124">
        <f>año!AA10</f>
        <v>29</v>
      </c>
      <c r="W7" s="125">
        <f>año!AB10</f>
        <v>30</v>
      </c>
      <c r="X7" s="125" t="str">
        <f>año!AC10</f>
        <v xml:space="preserve"> </v>
      </c>
      <c r="Y7" s="125" t="str">
        <f>año!AD10</f>
        <v xml:space="preserve"> </v>
      </c>
      <c r="Z7" s="125" t="str">
        <f>año!AE10</f>
        <v xml:space="preserve"> </v>
      </c>
      <c r="AA7" s="125" t="str">
        <f>año!AF10</f>
        <v xml:space="preserve"> </v>
      </c>
      <c r="AB7" s="133" t="str">
        <f>año!AG10</f>
        <v xml:space="preserve"> </v>
      </c>
      <c r="AD7" s="1045"/>
      <c r="AE7" s="1045"/>
      <c r="AF7" s="1045"/>
      <c r="AG7" s="1045"/>
      <c r="AH7" s="1045"/>
      <c r="AJ7" s="720">
        <f>año!K19</f>
        <v>24</v>
      </c>
      <c r="AK7" s="131">
        <f>año!L19</f>
        <v>25</v>
      </c>
      <c r="AL7" s="131">
        <f>año!M19</f>
        <v>26</v>
      </c>
      <c r="AM7" s="131">
        <f>año!N19</f>
        <v>27</v>
      </c>
      <c r="AN7" s="131">
        <f>año!O19</f>
        <v>28</v>
      </c>
      <c r="AO7" s="131">
        <f>año!P19</f>
        <v>29</v>
      </c>
      <c r="AP7" s="133">
        <f>año!Q19</f>
        <v>30</v>
      </c>
    </row>
    <row r="8" spans="1:42" ht="9" customHeight="1" thickBot="1">
      <c r="B8" s="350"/>
      <c r="C8" s="344"/>
      <c r="D8" s="344"/>
      <c r="E8" s="344"/>
      <c r="F8" s="344"/>
      <c r="G8" s="344"/>
      <c r="H8" s="344"/>
      <c r="I8" s="344"/>
      <c r="J8" s="344"/>
      <c r="K8" s="344"/>
      <c r="L8" s="344"/>
      <c r="M8" s="344"/>
      <c r="N8" s="344"/>
      <c r="O8" s="344"/>
      <c r="P8" s="344"/>
      <c r="Q8" s="344"/>
      <c r="R8" s="344"/>
      <c r="S8" s="344"/>
      <c r="T8" s="344"/>
      <c r="U8" s="347"/>
      <c r="V8" s="126" t="str">
        <f>año!AA11</f>
        <v xml:space="preserve"> </v>
      </c>
      <c r="W8" s="127" t="str">
        <f>año!AB11</f>
        <v xml:space="preserve"> </v>
      </c>
      <c r="X8" s="1157" t="str">
        <f>año!AC11</f>
        <v/>
      </c>
      <c r="Y8" s="1158"/>
      <c r="Z8" s="1158"/>
      <c r="AA8" s="1158"/>
      <c r="AB8" s="134" t="str">
        <f>año!AG11</f>
        <v/>
      </c>
      <c r="AJ8" s="126" t="str">
        <f>año!K20</f>
        <v xml:space="preserve"> </v>
      </c>
      <c r="AK8" s="127" t="str">
        <f>año!L20</f>
        <v xml:space="preserve"> </v>
      </c>
      <c r="AL8" s="127" t="str">
        <f>año!M20</f>
        <v xml:space="preserve"> </v>
      </c>
      <c r="AM8" s="127" t="str">
        <f>año!N20</f>
        <v xml:space="preserve"> </v>
      </c>
      <c r="AN8" s="127" t="str">
        <f>año!O20</f>
        <v xml:space="preserve"> </v>
      </c>
      <c r="AO8" s="127" t="str">
        <f>año!P20</f>
        <v xml:space="preserve"> </v>
      </c>
      <c r="AP8" s="137" t="str">
        <f>año!Q20</f>
        <v xml:space="preserve"> </v>
      </c>
    </row>
    <row r="9" spans="1:42" ht="9" customHeight="1">
      <c r="B9" s="350"/>
      <c r="C9" s="344"/>
      <c r="D9" s="344"/>
      <c r="E9" s="344"/>
      <c r="F9" s="344"/>
      <c r="G9" s="344"/>
      <c r="H9" s="344"/>
      <c r="I9" s="344"/>
      <c r="J9" s="344"/>
      <c r="K9" s="344"/>
      <c r="L9" s="344"/>
      <c r="M9" s="344"/>
      <c r="N9" s="344"/>
      <c r="O9" s="344"/>
      <c r="P9" s="344"/>
      <c r="Q9" s="344"/>
      <c r="R9" s="344"/>
      <c r="S9" s="344"/>
      <c r="T9" s="344"/>
      <c r="U9" s="348"/>
      <c r="V9" s="112"/>
      <c r="W9" s="112"/>
      <c r="X9" s="112"/>
      <c r="Y9" s="112"/>
      <c r="Z9" s="112"/>
      <c r="AA9" s="112"/>
      <c r="AB9" s="112"/>
      <c r="AC9" s="112"/>
      <c r="AD9" s="112"/>
      <c r="AE9" s="112"/>
      <c r="AF9" s="112"/>
      <c r="AG9" s="112"/>
      <c r="AH9" s="112"/>
      <c r="AI9" s="112"/>
      <c r="AJ9" s="112"/>
      <c r="AK9" s="112"/>
      <c r="AL9" s="112"/>
      <c r="AM9" s="112"/>
      <c r="AN9" s="112"/>
      <c r="AO9" s="112"/>
      <c r="AP9" s="112"/>
    </row>
    <row r="10" spans="1:42" ht="9" customHeight="1">
      <c r="B10" s="350"/>
      <c r="C10" s="344"/>
      <c r="D10" s="344"/>
      <c r="E10" s="344"/>
      <c r="F10" s="344"/>
      <c r="G10" s="344"/>
      <c r="H10" s="344"/>
      <c r="I10" s="344"/>
      <c r="J10" s="344"/>
      <c r="K10" s="344"/>
      <c r="L10" s="344"/>
      <c r="M10" s="344"/>
      <c r="N10" s="344"/>
      <c r="O10" s="344"/>
      <c r="P10" s="344"/>
      <c r="Q10" s="344"/>
      <c r="R10" s="344"/>
      <c r="S10" s="344"/>
      <c r="T10" s="344"/>
      <c r="U10" s="348"/>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047"/>
    </row>
    <row r="11" spans="1:42" ht="9" customHeight="1">
      <c r="B11" s="350"/>
      <c r="C11" s="344"/>
      <c r="D11" s="344"/>
      <c r="E11" s="344"/>
      <c r="F11" s="344"/>
      <c r="G11" s="344"/>
      <c r="H11" s="344"/>
      <c r="I11" s="344"/>
      <c r="J11" s="344"/>
      <c r="K11" s="344"/>
      <c r="L11" s="344"/>
      <c r="M11" s="344"/>
      <c r="N11" s="344"/>
      <c r="O11" s="344"/>
      <c r="P11" s="344"/>
      <c r="Q11" s="344"/>
      <c r="R11" s="344"/>
      <c r="S11" s="344"/>
      <c r="T11" s="344"/>
      <c r="U11" s="348"/>
      <c r="V11" s="1060" t="str">
        <f>año!C15</f>
        <v xml:space="preserve"> </v>
      </c>
      <c r="W11" s="1061"/>
      <c r="X11" s="1061"/>
      <c r="Y11" s="1061" t="str">
        <f>año!D15</f>
        <v xml:space="preserve"> </v>
      </c>
      <c r="Z11" s="1061"/>
      <c r="AA11" s="1061"/>
      <c r="AB11" s="1061">
        <f>año!E15</f>
        <v>1</v>
      </c>
      <c r="AC11" s="1061"/>
      <c r="AD11" s="1061"/>
      <c r="AE11" s="1061">
        <f>año!F15</f>
        <v>2</v>
      </c>
      <c r="AF11" s="1061"/>
      <c r="AG11" s="1061"/>
      <c r="AH11" s="1061">
        <f>año!G15</f>
        <v>3</v>
      </c>
      <c r="AI11" s="1061"/>
      <c r="AJ11" s="1061"/>
      <c r="AK11" s="1061">
        <f>año!H15</f>
        <v>4</v>
      </c>
      <c r="AL11" s="1061"/>
      <c r="AM11" s="1061"/>
      <c r="AN11" s="1062">
        <f>año!I15</f>
        <v>5</v>
      </c>
      <c r="AO11" s="1062"/>
      <c r="AP11" s="1063"/>
    </row>
    <row r="12" spans="1:42" ht="9" customHeight="1">
      <c r="B12" s="346"/>
      <c r="C12" s="344"/>
      <c r="D12" s="344"/>
      <c r="E12" s="344"/>
      <c r="F12" s="344"/>
      <c r="G12" s="344"/>
      <c r="H12" s="344"/>
      <c r="I12" s="344"/>
      <c r="J12" s="344"/>
      <c r="K12" s="344"/>
      <c r="L12" s="344"/>
      <c r="M12" s="344"/>
      <c r="N12" s="344"/>
      <c r="O12" s="344"/>
      <c r="P12" s="344"/>
      <c r="Q12" s="344"/>
      <c r="R12" s="344"/>
      <c r="S12" s="344"/>
      <c r="T12" s="344"/>
      <c r="U12" s="348"/>
      <c r="V12" s="1051"/>
      <c r="W12" s="1052"/>
      <c r="X12" s="1052"/>
      <c r="Y12" s="1052"/>
      <c r="Z12" s="1052"/>
      <c r="AA12" s="1052"/>
      <c r="AB12" s="1052"/>
      <c r="AC12" s="1052"/>
      <c r="AD12" s="1052"/>
      <c r="AE12" s="1052"/>
      <c r="AF12" s="1052"/>
      <c r="AG12" s="1052"/>
      <c r="AH12" s="1052"/>
      <c r="AI12" s="1052"/>
      <c r="AJ12" s="1052"/>
      <c r="AK12" s="1052"/>
      <c r="AL12" s="1052"/>
      <c r="AM12" s="1052"/>
      <c r="AN12" s="1064"/>
      <c r="AO12" s="1064"/>
      <c r="AP12" s="1065"/>
    </row>
    <row r="13" spans="1:42" ht="9" customHeight="1">
      <c r="B13" s="346"/>
      <c r="C13" s="344"/>
      <c r="D13" s="344"/>
      <c r="E13" s="344"/>
      <c r="F13" s="344"/>
      <c r="G13" s="344"/>
      <c r="H13" s="344"/>
      <c r="I13" s="344"/>
      <c r="J13" s="344"/>
      <c r="K13" s="344"/>
      <c r="L13" s="344"/>
      <c r="M13" s="344"/>
      <c r="N13" s="344"/>
      <c r="O13" s="344"/>
      <c r="P13" s="344"/>
      <c r="Q13" s="344"/>
      <c r="R13" s="344"/>
      <c r="S13" s="344"/>
      <c r="T13" s="344"/>
      <c r="U13" s="348"/>
      <c r="V13" s="1051"/>
      <c r="W13" s="1052"/>
      <c r="X13" s="1052"/>
      <c r="Y13" s="1052"/>
      <c r="Z13" s="1052"/>
      <c r="AA13" s="1052"/>
      <c r="AB13" s="1052"/>
      <c r="AC13" s="1052"/>
      <c r="AD13" s="1052"/>
      <c r="AE13" s="1052"/>
      <c r="AF13" s="1052"/>
      <c r="AG13" s="1052"/>
      <c r="AH13" s="1052"/>
      <c r="AI13" s="1052"/>
      <c r="AJ13" s="1052"/>
      <c r="AK13" s="1052"/>
      <c r="AL13" s="1052"/>
      <c r="AM13" s="1052"/>
      <c r="AN13" s="1064"/>
      <c r="AO13" s="1064"/>
      <c r="AP13" s="1065"/>
    </row>
    <row r="14" spans="1:42" ht="9" customHeight="1">
      <c r="B14" s="346"/>
      <c r="C14" s="344"/>
      <c r="D14" s="344"/>
      <c r="E14" s="344"/>
      <c r="F14" s="344"/>
      <c r="G14" s="344"/>
      <c r="H14" s="344"/>
      <c r="I14" s="344"/>
      <c r="J14" s="344"/>
      <c r="K14" s="344"/>
      <c r="L14" s="344"/>
      <c r="M14" s="344"/>
      <c r="N14" s="344"/>
      <c r="O14" s="344"/>
      <c r="P14" s="344"/>
      <c r="Q14" s="344"/>
      <c r="R14" s="344"/>
      <c r="S14" s="344"/>
      <c r="T14" s="344"/>
      <c r="U14" s="348"/>
      <c r="V14" s="1049" t="str">
        <f>IF(V11&lt;&gt;" ",VLOOKUP(V11,$F$40:$H$70,2)," ")</f>
        <v xml:space="preserve"> </v>
      </c>
      <c r="W14" s="1050"/>
      <c r="X14" s="1050"/>
      <c r="Y14" s="1050" t="str">
        <f>IF(Y11&lt;&gt;" ",VLOOKUP(Y11,$F$40:$H$70,2)," ")</f>
        <v xml:space="preserve"> </v>
      </c>
      <c r="Z14" s="1050"/>
      <c r="AA14" s="1050"/>
      <c r="AB14" s="1050" t="str">
        <f>IF(AB11&lt;&gt;" ",VLOOKUP(AB11,$F$40:$H$70,2)," ")</f>
        <v>José Obrero</v>
      </c>
      <c r="AC14" s="1050"/>
      <c r="AD14" s="1050"/>
      <c r="AE14" s="1050" t="str">
        <f>IF(AE11&lt;&gt;" ",VLOOKUP(AE11,$F$40:$H$70,2)," ")</f>
        <v>C.Madrid</v>
      </c>
      <c r="AF14" s="1050"/>
      <c r="AG14" s="1050"/>
      <c r="AH14" s="1050" t="str">
        <f>IF(AH11&lt;&gt;" ",VLOOKUP(AH11,$F$40:$H$70,2)," ")</f>
        <v>S.Cruces</v>
      </c>
      <c r="AI14" s="1050"/>
      <c r="AJ14" s="1050"/>
      <c r="AK14" s="1050" t="str">
        <f>IF(AK11&lt;&gt;" ",VLOOKUP(AK11,$F$40:$H$70,2)," ")</f>
        <v>José Mª Rubio</v>
      </c>
      <c r="AL14" s="1050"/>
      <c r="AM14" s="1050"/>
      <c r="AN14" s="1050" t="str">
        <f>IF(AN11&lt;&gt;" ",VLOOKUP(AN11,$F$40:$H$70,2)," ")</f>
        <v>Verge Muntanya</v>
      </c>
      <c r="AO14" s="1050"/>
      <c r="AP14" s="1066"/>
    </row>
    <row r="15" spans="1:42" ht="9" customHeight="1">
      <c r="B15" s="346"/>
      <c r="C15" s="344"/>
      <c r="D15" s="344"/>
      <c r="E15" s="344"/>
      <c r="F15" s="344"/>
      <c r="G15" s="344"/>
      <c r="H15" s="344"/>
      <c r="I15" s="344"/>
      <c r="J15" s="344"/>
      <c r="K15" s="344"/>
      <c r="L15" s="344"/>
      <c r="M15" s="344"/>
      <c r="N15" s="344"/>
      <c r="O15" s="344"/>
      <c r="P15" s="344"/>
      <c r="Q15" s="344"/>
      <c r="R15" s="344"/>
      <c r="S15" s="344"/>
      <c r="T15" s="344"/>
      <c r="U15" s="348"/>
      <c r="V15" s="1116">
        <f>año!C16</f>
        <v>6</v>
      </c>
      <c r="W15" s="1117"/>
      <c r="X15" s="1117"/>
      <c r="Y15" s="1052">
        <f>año!D16</f>
        <v>7</v>
      </c>
      <c r="Z15" s="1052"/>
      <c r="AA15" s="1052"/>
      <c r="AB15" s="1052">
        <f>año!E16</f>
        <v>8</v>
      </c>
      <c r="AC15" s="1052"/>
      <c r="AD15" s="1052"/>
      <c r="AE15" s="1130">
        <f>año!F16</f>
        <v>9</v>
      </c>
      <c r="AF15" s="1130"/>
      <c r="AG15" s="1130"/>
      <c r="AH15" s="1052">
        <f>año!G16</f>
        <v>10</v>
      </c>
      <c r="AI15" s="1052"/>
      <c r="AJ15" s="1052"/>
      <c r="AK15" s="1052">
        <f>año!H16</f>
        <v>11</v>
      </c>
      <c r="AL15" s="1052"/>
      <c r="AM15" s="1052"/>
      <c r="AN15" s="1064">
        <f>año!I16</f>
        <v>12</v>
      </c>
      <c r="AO15" s="1064"/>
      <c r="AP15" s="1065"/>
    </row>
    <row r="16" spans="1:42" ht="9" customHeight="1">
      <c r="B16" s="346"/>
      <c r="C16" s="344"/>
      <c r="D16" s="344"/>
      <c r="E16" s="344"/>
      <c r="F16" s="344"/>
      <c r="G16" s="344"/>
      <c r="H16" s="344"/>
      <c r="I16" s="344"/>
      <c r="J16" s="344"/>
      <c r="K16" s="344"/>
      <c r="L16" s="344"/>
      <c r="M16" s="344"/>
      <c r="N16" s="344"/>
      <c r="O16" s="344"/>
      <c r="P16" s="344"/>
      <c r="Q16" s="344"/>
      <c r="R16" s="344"/>
      <c r="S16" s="344"/>
      <c r="T16" s="344"/>
      <c r="U16" s="348"/>
      <c r="V16" s="1116"/>
      <c r="W16" s="1117"/>
      <c r="X16" s="1117"/>
      <c r="Y16" s="1052"/>
      <c r="Z16" s="1052"/>
      <c r="AA16" s="1052"/>
      <c r="AB16" s="1052"/>
      <c r="AC16" s="1052"/>
      <c r="AD16" s="1052"/>
      <c r="AE16" s="1130"/>
      <c r="AF16" s="1130"/>
      <c r="AG16" s="1130"/>
      <c r="AH16" s="1052"/>
      <c r="AI16" s="1052"/>
      <c r="AJ16" s="1052"/>
      <c r="AK16" s="1052"/>
      <c r="AL16" s="1052"/>
      <c r="AM16" s="1052"/>
      <c r="AN16" s="1064"/>
      <c r="AO16" s="1064"/>
      <c r="AP16" s="1065"/>
    </row>
    <row r="17" spans="2:42" ht="9" customHeight="1">
      <c r="B17" s="346"/>
      <c r="C17" s="344"/>
      <c r="D17" s="344"/>
      <c r="E17" s="344"/>
      <c r="F17" s="344"/>
      <c r="G17" s="344"/>
      <c r="H17" s="344"/>
      <c r="I17" s="344"/>
      <c r="J17" s="344"/>
      <c r="K17" s="344"/>
      <c r="L17" s="344"/>
      <c r="M17" s="344"/>
      <c r="N17" s="344"/>
      <c r="O17" s="344"/>
      <c r="P17" s="344"/>
      <c r="Q17" s="344"/>
      <c r="R17" s="344"/>
      <c r="S17" s="344"/>
      <c r="T17" s="344"/>
      <c r="U17" s="348"/>
      <c r="V17" s="1116"/>
      <c r="W17" s="1117"/>
      <c r="X17" s="1117"/>
      <c r="Y17" s="1052"/>
      <c r="Z17" s="1052"/>
      <c r="AA17" s="1052"/>
      <c r="AB17" s="1052"/>
      <c r="AC17" s="1052"/>
      <c r="AD17" s="1052"/>
      <c r="AE17" s="1130"/>
      <c r="AF17" s="1130"/>
      <c r="AG17" s="1130"/>
      <c r="AH17" s="1052"/>
      <c r="AI17" s="1052"/>
      <c r="AJ17" s="1052"/>
      <c r="AK17" s="1052"/>
      <c r="AL17" s="1052"/>
      <c r="AM17" s="1052"/>
      <c r="AN17" s="1064"/>
      <c r="AO17" s="1064"/>
      <c r="AP17" s="1065"/>
    </row>
    <row r="18" spans="2:42" ht="9" customHeight="1">
      <c r="B18" s="346"/>
      <c r="C18" s="344"/>
      <c r="D18" s="344"/>
      <c r="E18" s="344"/>
      <c r="F18" s="344"/>
      <c r="G18" s="344"/>
      <c r="H18" s="344"/>
      <c r="I18" s="344"/>
      <c r="J18" s="344"/>
      <c r="K18" s="344"/>
      <c r="L18" s="344"/>
      <c r="M18" s="344"/>
      <c r="N18" s="344"/>
      <c r="O18" s="344"/>
      <c r="P18" s="344"/>
      <c r="Q18" s="344"/>
      <c r="R18" s="344"/>
      <c r="S18" s="344"/>
      <c r="T18" s="344"/>
      <c r="U18" s="348"/>
      <c r="V18" s="1049" t="str">
        <f>IF(V15&lt;&gt;" ",VLOOKUP(V15,$F$40:$H$70,2)," ")</f>
        <v>Domenech Savi</v>
      </c>
      <c r="W18" s="1050"/>
      <c r="X18" s="1050"/>
      <c r="Y18" s="1050" t="str">
        <f>IF(Y15&lt;&gt;" ",VLOOKUP(Y15,$F$40:$H$70,2)," ")</f>
        <v>Estanislao</v>
      </c>
      <c r="Z18" s="1050"/>
      <c r="AA18" s="1050"/>
      <c r="AB18" s="1050" t="str">
        <f>IF(AB15&lt;&gt;" ",VLOOKUP(AB15,$F$40:$H$70,2)," ")</f>
        <v>Acacio</v>
      </c>
      <c r="AC18" s="1050"/>
      <c r="AD18" s="1050"/>
      <c r="AE18" s="1050" t="str">
        <f>IF(AE15&lt;&gt;" ",VLOOKUP(AE15,$F$40:$H$70,2)," ")</f>
        <v>Casilda</v>
      </c>
      <c r="AF18" s="1050"/>
      <c r="AG18" s="1050"/>
      <c r="AH18" s="1050" t="str">
        <f>IF(AH15&lt;&gt;" ",VLOOKUP(AH15,$F$40:$H$70,2)," ")</f>
        <v>Juan Ávila</v>
      </c>
      <c r="AI18" s="1050"/>
      <c r="AJ18" s="1050"/>
      <c r="AK18" s="1050" t="str">
        <f>IF(AK15&lt;&gt;" ",VLOOKUP(AK15,$F$40:$H$70,2)," ")</f>
        <v>Evelio</v>
      </c>
      <c r="AL18" s="1050"/>
      <c r="AM18" s="1050"/>
      <c r="AN18" s="1050" t="str">
        <f>IF(AN15&lt;&gt;" ",VLOOKUP(AN15,$F$40:$H$70,2)," ")</f>
        <v>Pancracio</v>
      </c>
      <c r="AO18" s="1050"/>
      <c r="AP18" s="1066"/>
    </row>
    <row r="19" spans="2:42" ht="9" customHeight="1">
      <c r="B19" s="346"/>
      <c r="C19" s="344"/>
      <c r="D19" s="344"/>
      <c r="E19" s="344"/>
      <c r="F19" s="344"/>
      <c r="G19" s="344"/>
      <c r="H19" s="344"/>
      <c r="I19" s="344"/>
      <c r="J19" s="344"/>
      <c r="K19" s="344"/>
      <c r="L19" s="344"/>
      <c r="M19" s="344"/>
      <c r="N19" s="344"/>
      <c r="O19" s="344"/>
      <c r="P19" s="344"/>
      <c r="Q19" s="344"/>
      <c r="R19" s="344"/>
      <c r="S19" s="344"/>
      <c r="T19" s="344"/>
      <c r="U19" s="348"/>
      <c r="V19" s="1051">
        <f>año!C17</f>
        <v>13</v>
      </c>
      <c r="W19" s="1052"/>
      <c r="X19" s="1052"/>
      <c r="Y19" s="1052">
        <f>año!D17</f>
        <v>14</v>
      </c>
      <c r="Z19" s="1052"/>
      <c r="AA19" s="1052"/>
      <c r="AB19" s="1052">
        <f>año!E17</f>
        <v>15</v>
      </c>
      <c r="AC19" s="1052"/>
      <c r="AD19" s="1052"/>
      <c r="AE19" s="1052">
        <f>año!F17</f>
        <v>16</v>
      </c>
      <c r="AF19" s="1052"/>
      <c r="AG19" s="1052"/>
      <c r="AH19" s="1052">
        <f>año!G17</f>
        <v>17</v>
      </c>
      <c r="AI19" s="1052"/>
      <c r="AJ19" s="1052"/>
      <c r="AK19" s="1052">
        <f>año!H17</f>
        <v>18</v>
      </c>
      <c r="AL19" s="1052"/>
      <c r="AM19" s="1052"/>
      <c r="AN19" s="1064">
        <f>año!I17</f>
        <v>19</v>
      </c>
      <c r="AO19" s="1064"/>
      <c r="AP19" s="1065"/>
    </row>
    <row r="20" spans="2:42" ht="9" customHeight="1">
      <c r="B20" s="346"/>
      <c r="C20" s="344"/>
      <c r="D20" s="344"/>
      <c r="E20" s="344"/>
      <c r="F20" s="344"/>
      <c r="G20" s="344"/>
      <c r="H20" s="344"/>
      <c r="I20" s="344"/>
      <c r="J20" s="344"/>
      <c r="K20" s="344"/>
      <c r="L20" s="344"/>
      <c r="M20" s="344"/>
      <c r="N20" s="344"/>
      <c r="O20" s="344"/>
      <c r="P20" s="344"/>
      <c r="Q20" s="344"/>
      <c r="R20" s="344"/>
      <c r="S20" s="344"/>
      <c r="T20" s="344"/>
      <c r="U20" s="348"/>
      <c r="V20" s="1051"/>
      <c r="W20" s="1052"/>
      <c r="X20" s="1052"/>
      <c r="Y20" s="1052"/>
      <c r="Z20" s="1052"/>
      <c r="AA20" s="1052"/>
      <c r="AB20" s="1052"/>
      <c r="AC20" s="1052"/>
      <c r="AD20" s="1052"/>
      <c r="AE20" s="1052"/>
      <c r="AF20" s="1052"/>
      <c r="AG20" s="1052"/>
      <c r="AH20" s="1052"/>
      <c r="AI20" s="1052"/>
      <c r="AJ20" s="1052"/>
      <c r="AK20" s="1052"/>
      <c r="AL20" s="1052"/>
      <c r="AM20" s="1052"/>
      <c r="AN20" s="1064"/>
      <c r="AO20" s="1064"/>
      <c r="AP20" s="1065"/>
    </row>
    <row r="21" spans="2:42" ht="9" customHeight="1">
      <c r="B21" s="346"/>
      <c r="C21" s="344"/>
      <c r="D21" s="344"/>
      <c r="E21" s="344"/>
      <c r="F21" s="344"/>
      <c r="G21" s="344"/>
      <c r="H21" s="344"/>
      <c r="I21" s="344"/>
      <c r="J21" s="344"/>
      <c r="K21" s="344"/>
      <c r="L21" s="344"/>
      <c r="M21" s="344"/>
      <c r="N21" s="344"/>
      <c r="O21" s="344"/>
      <c r="P21" s="344"/>
      <c r="Q21" s="344"/>
      <c r="R21" s="344"/>
      <c r="S21" s="344"/>
      <c r="T21" s="344"/>
      <c r="U21" s="348"/>
      <c r="V21" s="1051"/>
      <c r="W21" s="1052"/>
      <c r="X21" s="1052"/>
      <c r="Y21" s="1052"/>
      <c r="Z21" s="1052"/>
      <c r="AA21" s="1052"/>
      <c r="AB21" s="1052"/>
      <c r="AC21" s="1052"/>
      <c r="AD21" s="1052"/>
      <c r="AE21" s="1052"/>
      <c r="AF21" s="1052"/>
      <c r="AG21" s="1052"/>
      <c r="AH21" s="1052"/>
      <c r="AI21" s="1052"/>
      <c r="AJ21" s="1052"/>
      <c r="AK21" s="1052"/>
      <c r="AL21" s="1052"/>
      <c r="AM21" s="1052"/>
      <c r="AN21" s="1064"/>
      <c r="AO21" s="1064"/>
      <c r="AP21" s="1065"/>
    </row>
    <row r="22" spans="2:42" ht="9" customHeight="1">
      <c r="B22" s="346"/>
      <c r="C22" s="344"/>
      <c r="D22" s="344"/>
      <c r="E22" s="344"/>
      <c r="F22" s="344"/>
      <c r="G22" s="344"/>
      <c r="H22" s="344"/>
      <c r="I22" s="344"/>
      <c r="J22" s="344"/>
      <c r="K22" s="344"/>
      <c r="L22" s="344"/>
      <c r="M22" s="344"/>
      <c r="N22" s="344"/>
      <c r="O22" s="344"/>
      <c r="P22" s="344"/>
      <c r="Q22" s="344"/>
      <c r="R22" s="344"/>
      <c r="S22" s="344"/>
      <c r="T22" s="344"/>
      <c r="U22" s="348"/>
      <c r="V22" s="1049" t="str">
        <f>IF(V19&lt;&gt;" ",VLOOKUP(V19,$F$40:$H$70,2)," ")</f>
        <v>Ntra. Sra. Fátima</v>
      </c>
      <c r="W22" s="1050"/>
      <c r="X22" s="1050"/>
      <c r="Y22" s="1050" t="str">
        <f>IF(Y19&lt;&gt;" ",VLOOKUP(Y19,$F$40:$H$70,2)," ")</f>
        <v>Matías Ap.</v>
      </c>
      <c r="Z22" s="1050"/>
      <c r="AA22" s="1050"/>
      <c r="AB22" s="1050" t="str">
        <f>IF(AB19&lt;&gt;" ",VLOOKUP(AB19,$F$40:$H$70,2)," ")</f>
        <v>Isidro Labrador</v>
      </c>
      <c r="AC22" s="1050"/>
      <c r="AD22" s="1050"/>
      <c r="AE22" s="1050" t="str">
        <f>IF(AE19&lt;&gt;" ",VLOOKUP(AE19,$F$40:$H$70,2)," ")</f>
        <v>Gemma</v>
      </c>
      <c r="AF22" s="1050"/>
      <c r="AG22" s="1050"/>
      <c r="AH22" s="1050" t="str">
        <f>IF(AH19&lt;&gt;" ",VLOOKUP(AH19,$F$40:$H$70,2)," ")</f>
        <v>Pascual Bailón</v>
      </c>
      <c r="AI22" s="1050"/>
      <c r="AJ22" s="1050"/>
      <c r="AK22" s="1050" t="str">
        <f>IF(AK19&lt;&gt;" ",VLOOKUP(AK19,$F$40:$H$70,2)," ")</f>
        <v>Claudia</v>
      </c>
      <c r="AL22" s="1050"/>
      <c r="AM22" s="1050"/>
      <c r="AN22" s="1050" t="str">
        <f>IF(AN19&lt;&gt;" ",VLOOKUP(AN19,$F$40:$H$70,2)," ")</f>
        <v>Crispín</v>
      </c>
      <c r="AO22" s="1050"/>
      <c r="AP22" s="1066"/>
    </row>
    <row r="23" spans="2:42" ht="9" customHeight="1">
      <c r="B23" s="346"/>
      <c r="C23" s="344"/>
      <c r="D23" s="344"/>
      <c r="E23" s="344"/>
      <c r="F23" s="344"/>
      <c r="G23" s="344"/>
      <c r="H23" s="344"/>
      <c r="I23" s="344"/>
      <c r="J23" s="344"/>
      <c r="K23" s="344"/>
      <c r="L23" s="344"/>
      <c r="M23" s="344"/>
      <c r="N23" s="344"/>
      <c r="O23" s="344"/>
      <c r="P23" s="344"/>
      <c r="Q23" s="344"/>
      <c r="R23" s="344"/>
      <c r="S23" s="344"/>
      <c r="T23" s="344"/>
      <c r="U23" s="348"/>
      <c r="V23" s="1051">
        <f>año!C18</f>
        <v>20</v>
      </c>
      <c r="W23" s="1052"/>
      <c r="X23" s="1052"/>
      <c r="Y23" s="1052">
        <f>año!D18</f>
        <v>21</v>
      </c>
      <c r="Z23" s="1052"/>
      <c r="AA23" s="1052"/>
      <c r="AB23" s="1052">
        <f>año!E18</f>
        <v>22</v>
      </c>
      <c r="AC23" s="1052"/>
      <c r="AD23" s="1052"/>
      <c r="AE23" s="1052">
        <f>año!F18</f>
        <v>23</v>
      </c>
      <c r="AF23" s="1052"/>
      <c r="AG23" s="1052"/>
      <c r="AH23" s="1052">
        <f>año!G18</f>
        <v>24</v>
      </c>
      <c r="AI23" s="1052"/>
      <c r="AJ23" s="1052"/>
      <c r="AK23" s="1052">
        <f>año!H18</f>
        <v>25</v>
      </c>
      <c r="AL23" s="1052"/>
      <c r="AM23" s="1052"/>
      <c r="AN23" s="1064">
        <f>año!I18</f>
        <v>26</v>
      </c>
      <c r="AO23" s="1064"/>
      <c r="AP23" s="1065"/>
    </row>
    <row r="24" spans="2:42" ht="9" customHeight="1">
      <c r="B24" s="346"/>
      <c r="C24" s="344"/>
      <c r="D24" s="344"/>
      <c r="E24" s="344"/>
      <c r="F24" s="344"/>
      <c r="G24" s="344"/>
      <c r="H24" s="344"/>
      <c r="I24" s="344"/>
      <c r="J24" s="344"/>
      <c r="K24" s="344"/>
      <c r="L24" s="344"/>
      <c r="M24" s="344"/>
      <c r="N24" s="344"/>
      <c r="O24" s="344"/>
      <c r="P24" s="344"/>
      <c r="Q24" s="344"/>
      <c r="R24" s="344"/>
      <c r="S24" s="344"/>
      <c r="T24" s="344"/>
      <c r="U24" s="348"/>
      <c r="V24" s="1051"/>
      <c r="W24" s="1052"/>
      <c r="X24" s="1052"/>
      <c r="Y24" s="1052"/>
      <c r="Z24" s="1052"/>
      <c r="AA24" s="1052"/>
      <c r="AB24" s="1052"/>
      <c r="AC24" s="1052"/>
      <c r="AD24" s="1052"/>
      <c r="AE24" s="1052"/>
      <c r="AF24" s="1052"/>
      <c r="AG24" s="1052"/>
      <c r="AH24" s="1052"/>
      <c r="AI24" s="1052"/>
      <c r="AJ24" s="1052"/>
      <c r="AK24" s="1052"/>
      <c r="AL24" s="1052"/>
      <c r="AM24" s="1052"/>
      <c r="AN24" s="1064"/>
      <c r="AO24" s="1064"/>
      <c r="AP24" s="1065"/>
    </row>
    <row r="25" spans="2:42" ht="9" customHeight="1">
      <c r="B25" s="346"/>
      <c r="C25" s="344"/>
      <c r="D25" s="344"/>
      <c r="E25" s="344"/>
      <c r="F25" s="344"/>
      <c r="G25" s="344"/>
      <c r="H25" s="344"/>
      <c r="I25" s="344"/>
      <c r="J25" s="344"/>
      <c r="K25" s="344"/>
      <c r="L25" s="344"/>
      <c r="M25" s="344"/>
      <c r="N25" s="344"/>
      <c r="O25" s="344"/>
      <c r="P25" s="344"/>
      <c r="Q25" s="344"/>
      <c r="R25" s="344"/>
      <c r="S25" s="344"/>
      <c r="T25" s="344"/>
      <c r="U25" s="348"/>
      <c r="V25" s="1051"/>
      <c r="W25" s="1052"/>
      <c r="X25" s="1052"/>
      <c r="Y25" s="1052"/>
      <c r="Z25" s="1052"/>
      <c r="AA25" s="1052"/>
      <c r="AB25" s="1052"/>
      <c r="AC25" s="1052"/>
      <c r="AD25" s="1052"/>
      <c r="AE25" s="1052"/>
      <c r="AF25" s="1052"/>
      <c r="AG25" s="1052"/>
      <c r="AH25" s="1052"/>
      <c r="AI25" s="1052"/>
      <c r="AJ25" s="1052"/>
      <c r="AK25" s="1052"/>
      <c r="AL25" s="1052"/>
      <c r="AM25" s="1052"/>
      <c r="AN25" s="1064"/>
      <c r="AO25" s="1064"/>
      <c r="AP25" s="1065"/>
    </row>
    <row r="26" spans="2:42" ht="9" customHeight="1">
      <c r="B26" s="346"/>
      <c r="C26" s="344"/>
      <c r="D26" s="344"/>
      <c r="E26" s="344"/>
      <c r="F26" s="344"/>
      <c r="G26" s="344"/>
      <c r="H26" s="344"/>
      <c r="I26" s="344"/>
      <c r="J26" s="344"/>
      <c r="K26" s="344"/>
      <c r="L26" s="344"/>
      <c r="M26" s="344"/>
      <c r="N26" s="344"/>
      <c r="O26" s="344"/>
      <c r="P26" s="344"/>
      <c r="Q26" s="344"/>
      <c r="R26" s="344"/>
      <c r="S26" s="344"/>
      <c r="T26" s="344"/>
      <c r="U26" s="348"/>
      <c r="V26" s="1049" t="str">
        <f>IF(V23&lt;&gt;" ",VLOOKUP(V23,$F$40:$H$70,2)," ")</f>
        <v>Bernardino</v>
      </c>
      <c r="W26" s="1050"/>
      <c r="X26" s="1050"/>
      <c r="Y26" s="1050" t="str">
        <f>IF(Y23&lt;&gt;" ",VLOOKUP(Y23,$F$40:$H$70,2)," ")</f>
        <v>Gisela</v>
      </c>
      <c r="Z26" s="1050"/>
      <c r="AA26" s="1050"/>
      <c r="AB26" s="1050" t="str">
        <f>IF(AB23&lt;&gt;" ",VLOOKUP(AB23,$F$40:$H$70,2)," ")</f>
        <v>Rita de Casia</v>
      </c>
      <c r="AC26" s="1050"/>
      <c r="AD26" s="1050"/>
      <c r="AE26" s="1050" t="str">
        <f>IF(AE23&lt;&gt;" ",VLOOKUP(AE23,$F$40:$H$70,2)," ")</f>
        <v>Basileo</v>
      </c>
      <c r="AF26" s="1050"/>
      <c r="AG26" s="1050"/>
      <c r="AH26" s="1050" t="str">
        <f>IF(AH23&lt;&gt;" ",VLOOKUP(AH23,$F$40:$H$70,2)," ")</f>
        <v>Susana</v>
      </c>
      <c r="AI26" s="1050"/>
      <c r="AJ26" s="1050"/>
      <c r="AK26" s="1050" t="str">
        <f>IF(AK23&lt;&gt;" ",VLOOKUP(AK23,$F$40:$H$70,2)," ")</f>
        <v>Beda</v>
      </c>
      <c r="AL26" s="1050"/>
      <c r="AM26" s="1050"/>
      <c r="AN26" s="1050" t="str">
        <f>IF(AN23&lt;&gt;" ",VLOOKUP(AN23,$F$40:$H$70,2)," ")</f>
        <v>Felipe Neri</v>
      </c>
      <c r="AO26" s="1050"/>
      <c r="AP26" s="1066"/>
    </row>
    <row r="27" spans="2:42" ht="9" customHeight="1">
      <c r="B27" s="346"/>
      <c r="C27" s="344"/>
      <c r="D27" s="344"/>
      <c r="E27" s="344"/>
      <c r="F27" s="344"/>
      <c r="G27" s="344"/>
      <c r="H27" s="344"/>
      <c r="I27" s="344"/>
      <c r="J27" s="344"/>
      <c r="K27" s="344"/>
      <c r="L27" s="344"/>
      <c r="M27" s="344"/>
      <c r="N27" s="344"/>
      <c r="O27" s="344"/>
      <c r="P27" s="344"/>
      <c r="Q27" s="344"/>
      <c r="R27" s="344"/>
      <c r="S27" s="344"/>
      <c r="T27" s="344"/>
      <c r="U27" s="348"/>
      <c r="V27" s="1051">
        <f>año!C19</f>
        <v>27</v>
      </c>
      <c r="W27" s="1052"/>
      <c r="X27" s="1052"/>
      <c r="Y27" s="1052">
        <f>año!D19</f>
        <v>28</v>
      </c>
      <c r="Z27" s="1052"/>
      <c r="AA27" s="1052"/>
      <c r="AB27" s="1052">
        <f>año!E19</f>
        <v>29</v>
      </c>
      <c r="AC27" s="1052"/>
      <c r="AD27" s="1052"/>
      <c r="AE27" s="1052">
        <f>año!F19</f>
        <v>30</v>
      </c>
      <c r="AF27" s="1052"/>
      <c r="AG27" s="1052"/>
      <c r="AH27" s="1052">
        <f>año!G19</f>
        <v>31</v>
      </c>
      <c r="AI27" s="1052"/>
      <c r="AJ27" s="1052"/>
      <c r="AK27" s="1052" t="str">
        <f>año!H19</f>
        <v xml:space="preserve"> </v>
      </c>
      <c r="AL27" s="1052"/>
      <c r="AM27" s="1052"/>
      <c r="AN27" s="1064" t="str">
        <f>año!I19</f>
        <v xml:space="preserve"> </v>
      </c>
      <c r="AO27" s="1064"/>
      <c r="AP27" s="1065"/>
    </row>
    <row r="28" spans="2:42" ht="9" customHeight="1">
      <c r="B28" s="346"/>
      <c r="C28" s="344"/>
      <c r="D28" s="344"/>
      <c r="E28" s="344"/>
      <c r="F28" s="344"/>
      <c r="G28" s="344"/>
      <c r="H28" s="344"/>
      <c r="I28" s="344"/>
      <c r="J28" s="344"/>
      <c r="K28" s="344"/>
      <c r="L28" s="344"/>
      <c r="M28" s="344"/>
      <c r="N28" s="344"/>
      <c r="O28" s="344"/>
      <c r="P28" s="344"/>
      <c r="Q28" s="344"/>
      <c r="R28" s="344"/>
      <c r="S28" s="344"/>
      <c r="T28" s="344"/>
      <c r="U28" s="348"/>
      <c r="V28" s="1051"/>
      <c r="W28" s="1052"/>
      <c r="X28" s="1052"/>
      <c r="Y28" s="1052"/>
      <c r="Z28" s="1052"/>
      <c r="AA28" s="1052"/>
      <c r="AB28" s="1052"/>
      <c r="AC28" s="1052"/>
      <c r="AD28" s="1052"/>
      <c r="AE28" s="1052"/>
      <c r="AF28" s="1052"/>
      <c r="AG28" s="1052"/>
      <c r="AH28" s="1052"/>
      <c r="AI28" s="1052"/>
      <c r="AJ28" s="1052"/>
      <c r="AK28" s="1052"/>
      <c r="AL28" s="1052"/>
      <c r="AM28" s="1052"/>
      <c r="AN28" s="1064"/>
      <c r="AO28" s="1064"/>
      <c r="AP28" s="1065"/>
    </row>
    <row r="29" spans="2:42" ht="9" customHeight="1">
      <c r="B29" s="346"/>
      <c r="C29" s="344"/>
      <c r="D29" s="344"/>
      <c r="E29" s="344"/>
      <c r="F29" s="344"/>
      <c r="G29" s="344"/>
      <c r="H29" s="344"/>
      <c r="I29" s="344"/>
      <c r="J29" s="344"/>
      <c r="K29" s="344"/>
      <c r="L29" s="344"/>
      <c r="M29" s="344"/>
      <c r="N29" s="344"/>
      <c r="O29" s="344"/>
      <c r="P29" s="344"/>
      <c r="Q29" s="344"/>
      <c r="R29" s="344"/>
      <c r="S29" s="344"/>
      <c r="T29" s="344"/>
      <c r="U29" s="348"/>
      <c r="V29" s="1051"/>
      <c r="W29" s="1052"/>
      <c r="X29" s="1052"/>
      <c r="Y29" s="1052"/>
      <c r="Z29" s="1052"/>
      <c r="AA29" s="1052"/>
      <c r="AB29" s="1052"/>
      <c r="AC29" s="1052"/>
      <c r="AD29" s="1052"/>
      <c r="AE29" s="1052"/>
      <c r="AF29" s="1052"/>
      <c r="AG29" s="1052"/>
      <c r="AH29" s="1052"/>
      <c r="AI29" s="1052"/>
      <c r="AJ29" s="1052"/>
      <c r="AK29" s="1052"/>
      <c r="AL29" s="1052"/>
      <c r="AM29" s="1052"/>
      <c r="AN29" s="1064"/>
      <c r="AO29" s="1064"/>
      <c r="AP29" s="1065"/>
    </row>
    <row r="30" spans="2:42" ht="9" customHeight="1">
      <c r="B30" s="177"/>
      <c r="C30" s="38"/>
      <c r="D30" s="38"/>
      <c r="E30" s="38"/>
      <c r="F30" s="38"/>
      <c r="G30" s="38"/>
      <c r="H30" s="38"/>
      <c r="I30" s="38"/>
      <c r="J30" s="38"/>
      <c r="K30" s="38"/>
      <c r="L30" s="38"/>
      <c r="M30" s="38"/>
      <c r="N30" s="38"/>
      <c r="O30" s="38"/>
      <c r="P30" s="38"/>
      <c r="Q30" s="38"/>
      <c r="R30" s="38"/>
      <c r="S30" s="38"/>
      <c r="T30" s="38"/>
      <c r="U30" s="178"/>
      <c r="V30" s="1049" t="str">
        <f>IF(V27&lt;&gt;" ",VLOOKUP(V27,$F$40:$H$70,2)," ")</f>
        <v>Agustí Cant.</v>
      </c>
      <c r="W30" s="1050"/>
      <c r="X30" s="1050"/>
      <c r="Y30" s="1050" t="str">
        <f>IF(Y27&lt;&gt;" ",VLOOKUP(Y27,$F$40:$H$70,2)," ")</f>
        <v>Emilio/Germán</v>
      </c>
      <c r="Z30" s="1050"/>
      <c r="AA30" s="1050"/>
      <c r="AB30" s="1050" t="str">
        <f>IF(AB27&lt;&gt;" ",VLOOKUP(AB27,$F$40:$H$70,2)," ")</f>
        <v>Justo/Maximino</v>
      </c>
      <c r="AC30" s="1050"/>
      <c r="AD30" s="1050"/>
      <c r="AE30" s="1050" t="str">
        <f>IF(AE27&lt;&gt;" ",VLOOKUP(AE27,$F$40:$H$70,2)," ")</f>
        <v>C.Canarias</v>
      </c>
      <c r="AF30" s="1050"/>
      <c r="AG30" s="1050"/>
      <c r="AH30" s="1050" t="str">
        <f>IF(AH27&lt;&gt;" ",VLOOKUP(AH27,$F$40:$H$70,2)," ")</f>
        <v>C.La Mancha</v>
      </c>
      <c r="AI30" s="1050"/>
      <c r="AJ30" s="1050"/>
      <c r="AK30" s="1050" t="str">
        <f>IF(AK27&lt;&gt;" ",VLOOKUP(AK27,$F$40:$H$70,2)," ")</f>
        <v xml:space="preserve"> </v>
      </c>
      <c r="AL30" s="1050"/>
      <c r="AM30" s="1050"/>
      <c r="AN30" s="1050" t="str">
        <f>IF(AN27&lt;&gt;" ",VLOOKUP(AN27,$F$40:$H$70,2)," ")</f>
        <v xml:space="preserve"> </v>
      </c>
      <c r="AO30" s="1050"/>
      <c r="AP30" s="1066"/>
    </row>
    <row r="31" spans="2:42" ht="10.5" customHeight="1">
      <c r="B31" s="1100" t="s">
        <v>996</v>
      </c>
      <c r="C31" s="1101"/>
      <c r="D31" s="1101"/>
      <c r="E31" s="1101"/>
      <c r="F31" s="1101"/>
      <c r="G31" s="1101"/>
      <c r="H31" s="1101"/>
      <c r="I31" s="1101"/>
      <c r="J31" s="1101"/>
      <c r="K31" s="1101"/>
      <c r="L31" s="1101"/>
      <c r="M31" s="1101"/>
      <c r="N31" s="1101"/>
      <c r="O31" s="1101"/>
      <c r="P31" s="1101"/>
      <c r="Q31" s="1101"/>
      <c r="R31" s="1101"/>
      <c r="S31" s="1101"/>
      <c r="T31" s="1101"/>
      <c r="U31" s="1102"/>
      <c r="V31" s="1051" t="str">
        <f>año!C20</f>
        <v xml:space="preserve"> </v>
      </c>
      <c r="W31" s="1052"/>
      <c r="X31" s="1052"/>
      <c r="Y31" s="1052" t="str">
        <f>año!D20</f>
        <v xml:space="preserve"> </v>
      </c>
      <c r="Z31" s="1052"/>
      <c r="AA31" s="1052"/>
      <c r="AB31" s="1052" t="str">
        <f>año!E20</f>
        <v xml:space="preserve"> </v>
      </c>
      <c r="AC31" s="1052"/>
      <c r="AD31" s="1052"/>
      <c r="AE31" s="189"/>
      <c r="AF31" s="190"/>
      <c r="AG31" s="192"/>
      <c r="AH31" s="194"/>
      <c r="AI31" s="194"/>
      <c r="AJ31" s="192"/>
      <c r="AK31" s="194"/>
      <c r="AL31" s="194"/>
      <c r="AM31" s="192"/>
      <c r="AN31" s="193"/>
      <c r="AO31" s="194"/>
      <c r="AP31" s="192"/>
    </row>
    <row r="32" spans="2:42" ht="10.5" customHeight="1">
      <c r="B32" s="1100"/>
      <c r="C32" s="1101"/>
      <c r="D32" s="1101"/>
      <c r="E32" s="1101"/>
      <c r="F32" s="1101"/>
      <c r="G32" s="1101"/>
      <c r="H32" s="1101"/>
      <c r="I32" s="1101"/>
      <c r="J32" s="1101"/>
      <c r="K32" s="1101"/>
      <c r="L32" s="1101"/>
      <c r="M32" s="1101"/>
      <c r="N32" s="1101"/>
      <c r="O32" s="1101"/>
      <c r="P32" s="1101"/>
      <c r="Q32" s="1101"/>
      <c r="R32" s="1101"/>
      <c r="S32" s="1101"/>
      <c r="T32" s="1101"/>
      <c r="U32" s="1102"/>
      <c r="V32" s="1051"/>
      <c r="W32" s="1052"/>
      <c r="X32" s="1052"/>
      <c r="Y32" s="1052"/>
      <c r="Z32" s="1052"/>
      <c r="AA32" s="1052"/>
      <c r="AB32" s="1052"/>
      <c r="AC32" s="1052"/>
      <c r="AD32" s="1052"/>
      <c r="AE32" s="189"/>
      <c r="AF32" s="190"/>
      <c r="AG32" s="192" t="s">
        <v>247</v>
      </c>
      <c r="AH32" s="194"/>
      <c r="AI32" s="194"/>
      <c r="AJ32" s="192" t="s">
        <v>247</v>
      </c>
      <c r="AK32" s="194"/>
      <c r="AL32" s="194"/>
      <c r="AM32" s="192" t="s">
        <v>247</v>
      </c>
      <c r="AN32" s="193"/>
      <c r="AO32" s="194"/>
      <c r="AP32" s="192" t="s">
        <v>247</v>
      </c>
    </row>
    <row r="33" spans="2:44" ht="10.5" customHeight="1">
      <c r="B33" s="1100"/>
      <c r="C33" s="782"/>
      <c r="D33" s="782"/>
      <c r="E33" s="782"/>
      <c r="F33" s="782"/>
      <c r="G33" s="782"/>
      <c r="H33" s="782"/>
      <c r="I33" s="782"/>
      <c r="J33" s="782"/>
      <c r="K33" s="782"/>
      <c r="L33" s="782"/>
      <c r="M33" s="782"/>
      <c r="N33" s="782"/>
      <c r="O33" s="782"/>
      <c r="P33" s="782"/>
      <c r="Q33" s="782"/>
      <c r="R33" s="782"/>
      <c r="S33" s="782"/>
      <c r="T33" s="782"/>
      <c r="U33" s="1102"/>
      <c r="V33" s="1051"/>
      <c r="W33" s="1052"/>
      <c r="X33" s="1052"/>
      <c r="Y33" s="1052"/>
      <c r="Z33" s="1052"/>
      <c r="AA33" s="1052"/>
      <c r="AB33" s="1052"/>
      <c r="AC33" s="1052"/>
      <c r="AD33" s="1052"/>
      <c r="AE33" s="189"/>
      <c r="AF33" s="189"/>
      <c r="AG33" s="193">
        <f>luna!$O$67</f>
        <v>24</v>
      </c>
      <c r="AH33" s="194"/>
      <c r="AI33" s="1073">
        <f>luna!$R$67</f>
        <v>30</v>
      </c>
      <c r="AJ33" s="1068"/>
      <c r="AK33" s="194"/>
      <c r="AL33" s="1073">
        <f>luna!$Q$67</f>
        <v>9</v>
      </c>
      <c r="AM33" s="1068"/>
      <c r="AN33" s="193"/>
      <c r="AO33" s="1067">
        <f>luna!$P$67</f>
        <v>16</v>
      </c>
      <c r="AP33" s="1068"/>
    </row>
    <row r="34" spans="2:44" ht="9" customHeight="1">
      <c r="B34" s="1103"/>
      <c r="C34" s="1104"/>
      <c r="D34" s="1104"/>
      <c r="E34" s="1104"/>
      <c r="F34" s="1104"/>
      <c r="G34" s="1104"/>
      <c r="H34" s="1104"/>
      <c r="I34" s="1104"/>
      <c r="J34" s="1104"/>
      <c r="K34" s="1104"/>
      <c r="L34" s="1104"/>
      <c r="M34" s="1104"/>
      <c r="N34" s="1104"/>
      <c r="O34" s="1104"/>
      <c r="P34" s="1104"/>
      <c r="Q34" s="1104"/>
      <c r="R34" s="1104"/>
      <c r="S34" s="1104"/>
      <c r="T34" s="1104"/>
      <c r="U34" s="1105"/>
      <c r="V34" s="1049" t="str">
        <f>IF(V31&lt;&gt;" ",VLOOKUP(V31,$F$40:$H$70,2)," ")</f>
        <v xml:space="preserve"> </v>
      </c>
      <c r="W34" s="1050"/>
      <c r="X34" s="1050"/>
      <c r="Y34" s="1050" t="str">
        <f>IF(Y31&lt;&gt;" ",VLOOKUP(Y31,$F$40:$H$70,2)," ")</f>
        <v xml:space="preserve"> </v>
      </c>
      <c r="Z34" s="1050"/>
      <c r="AA34" s="1050"/>
      <c r="AB34" s="182"/>
      <c r="AC34" s="182"/>
      <c r="AD34" s="182"/>
      <c r="AE34" s="1078" t="s">
        <v>597</v>
      </c>
      <c r="AF34" s="1079"/>
      <c r="AG34" s="1080"/>
      <c r="AH34" s="1081" t="s">
        <v>598</v>
      </c>
      <c r="AI34" s="1081"/>
      <c r="AJ34" s="1081"/>
      <c r="AK34" s="1081" t="s">
        <v>599</v>
      </c>
      <c r="AL34" s="1081"/>
      <c r="AM34" s="1081"/>
      <c r="AN34" s="1081" t="s">
        <v>600</v>
      </c>
      <c r="AO34" s="1081"/>
      <c r="AP34" s="1081"/>
    </row>
    <row r="35" spans="2:44" ht="13.8" thickBot="1">
      <c r="B35" s="634">
        <v>1</v>
      </c>
      <c r="C35" s="406" t="s">
        <v>391</v>
      </c>
      <c r="D35" s="406"/>
      <c r="E35" s="406"/>
      <c r="F35" s="406"/>
      <c r="G35" s="406"/>
      <c r="H35" s="406"/>
      <c r="I35" s="635">
        <f>N38</f>
        <v>8</v>
      </c>
      <c r="J35" s="406" t="s">
        <v>390</v>
      </c>
      <c r="K35" s="406"/>
      <c r="L35" s="406"/>
      <c r="M35" s="406"/>
      <c r="N35" s="628">
        <f>AL43</f>
        <v>12</v>
      </c>
      <c r="O35" s="406" t="s">
        <v>732</v>
      </c>
      <c r="P35" s="406"/>
      <c r="Q35" s="406"/>
      <c r="R35" s="636">
        <f>DAY(M43)</f>
        <v>31</v>
      </c>
      <c r="S35" s="406" t="s">
        <v>747</v>
      </c>
      <c r="T35" s="406"/>
      <c r="U35" s="637">
        <f>DAY(M43-2)</f>
        <v>29</v>
      </c>
      <c r="V35" s="406" t="s">
        <v>387</v>
      </c>
      <c r="W35" s="406"/>
      <c r="X35" s="406"/>
      <c r="Y35" s="386"/>
      <c r="Z35" s="386"/>
      <c r="AA35" s="163"/>
      <c r="AB35" s="163"/>
      <c r="AC35" s="163"/>
      <c r="AD35" s="163"/>
      <c r="AE35" s="163"/>
      <c r="AF35" s="163"/>
      <c r="AG35" s="163"/>
      <c r="AH35" s="163"/>
      <c r="AI35" s="163"/>
      <c r="AJ35" s="163"/>
      <c r="AK35" s="163"/>
      <c r="AL35" s="163"/>
      <c r="AM35" s="163"/>
      <c r="AN35" s="163"/>
      <c r="AO35" s="163"/>
      <c r="AP35" s="164"/>
    </row>
    <row r="36" spans="2:44" ht="16.2" thickBot="1">
      <c r="B36" s="638">
        <f>AF43</f>
        <v>4</v>
      </c>
      <c r="C36" s="408" t="s">
        <v>392</v>
      </c>
      <c r="D36" s="408"/>
      <c r="E36" s="408"/>
      <c r="F36" s="408"/>
      <c r="G36" s="382">
        <f>V15</f>
        <v>6</v>
      </c>
      <c r="H36" s="408"/>
      <c r="I36" s="631">
        <f>U39</f>
        <v>19</v>
      </c>
      <c r="J36" s="408" t="s">
        <v>410</v>
      </c>
      <c r="K36" s="408"/>
      <c r="L36" s="408"/>
      <c r="M36" s="408"/>
      <c r="N36" s="639">
        <f>DAY(M43+1)</f>
        <v>1</v>
      </c>
      <c r="O36" s="408" t="s">
        <v>987</v>
      </c>
      <c r="P36" s="408"/>
      <c r="Q36" s="408"/>
      <c r="R36" s="1154">
        <f>ABRIL!$R$35</f>
        <v>45382</v>
      </c>
      <c r="S36" s="1154"/>
      <c r="T36" s="408"/>
      <c r="U36" s="641">
        <f>ABRIL!H35</f>
        <v>28</v>
      </c>
      <c r="V36" s="408" t="str">
        <f>ABRIL!I35</f>
        <v>Jueves Santo</v>
      </c>
      <c r="W36" s="408"/>
      <c r="X36" s="408"/>
      <c r="Y36" s="165"/>
      <c r="Z36" s="165"/>
      <c r="AA36" s="1089" t="s">
        <v>412</v>
      </c>
      <c r="AB36" s="1090"/>
      <c r="AC36" s="1090"/>
      <c r="AD36" s="1090"/>
      <c r="AE36" s="1090"/>
      <c r="AF36" s="1090"/>
      <c r="AG36" s="1091"/>
      <c r="AH36" s="165"/>
      <c r="AI36" s="1092" t="s">
        <v>411</v>
      </c>
      <c r="AJ36" s="1093"/>
      <c r="AK36" s="1093"/>
      <c r="AL36" s="1093"/>
      <c r="AM36" s="1093"/>
      <c r="AN36" s="1093"/>
      <c r="AO36" s="1094"/>
      <c r="AP36" s="166"/>
    </row>
    <row r="37" spans="2:44">
      <c r="B37" s="638">
        <f>AF44</f>
        <v>5</v>
      </c>
      <c r="C37" s="617" t="s">
        <v>392</v>
      </c>
      <c r="D37" s="617"/>
      <c r="E37" s="617"/>
      <c r="F37" s="617"/>
      <c r="G37" s="617" t="s">
        <v>964</v>
      </c>
      <c r="H37" s="617"/>
      <c r="I37" s="631">
        <f>JUNIO!$B$36</f>
        <v>2</v>
      </c>
      <c r="J37" s="617" t="s">
        <v>73</v>
      </c>
      <c r="K37" s="617"/>
      <c r="L37" s="617"/>
      <c r="M37" s="617"/>
      <c r="N37" s="640">
        <f>S46</f>
        <v>23</v>
      </c>
      <c r="O37" s="617" t="s">
        <v>735</v>
      </c>
      <c r="P37" s="617"/>
      <c r="Q37" s="617"/>
      <c r="R37" s="617"/>
      <c r="S37" s="617"/>
      <c r="T37" s="617"/>
      <c r="U37" s="641">
        <v>8</v>
      </c>
      <c r="V37" s="642" t="s">
        <v>978</v>
      </c>
      <c r="W37" s="617"/>
      <c r="X37" s="617"/>
      <c r="Y37" s="168"/>
      <c r="Z37" s="168"/>
      <c r="AA37" s="168"/>
      <c r="AB37" s="168"/>
      <c r="AC37" s="168"/>
      <c r="AD37" s="168"/>
      <c r="AE37" s="168"/>
      <c r="AF37" s="168"/>
      <c r="AG37" s="168"/>
      <c r="AH37" s="168"/>
      <c r="AI37" s="168"/>
      <c r="AJ37" s="168"/>
      <c r="AK37" s="168"/>
      <c r="AL37" s="168"/>
      <c r="AM37" s="168"/>
      <c r="AN37" s="168"/>
      <c r="AO37" s="168"/>
      <c r="AP37" s="169"/>
    </row>
    <row r="38" spans="2:44" hidden="1">
      <c r="N38">
        <f>MARZO!M38</f>
        <v>8</v>
      </c>
      <c r="O38">
        <f>MARZO!N38</f>
        <v>4</v>
      </c>
      <c r="P38">
        <f>MARZO!O38</f>
        <v>0</v>
      </c>
      <c r="Q38" t="str">
        <f>MARZO!P38</f>
        <v>Dijous Sant</v>
      </c>
      <c r="R38">
        <f>MARZO!Q38</f>
        <v>0</v>
      </c>
      <c r="U38" s="1106">
        <f>calendario!$H$59</f>
        <v>45431</v>
      </c>
      <c r="V38" s="1106"/>
      <c r="W38" s="1106"/>
      <c r="X38" s="1106"/>
      <c r="AD38">
        <f>FEBRERO!AI38</f>
        <v>31</v>
      </c>
      <c r="AE38">
        <f>FEBRERO!AJ38</f>
        <v>29</v>
      </c>
      <c r="AF38">
        <f>FEBRERO!AK38</f>
        <v>0</v>
      </c>
      <c r="AG38" t="str">
        <f>FEBRERO!AL38</f>
        <v>Pasqua</v>
      </c>
      <c r="AH38">
        <f>FEBRERO!AM38</f>
        <v>0</v>
      </c>
      <c r="AI38">
        <f>FEBRERO!AN38</f>
        <v>0</v>
      </c>
      <c r="AJ38">
        <f>FEBRERO!AO38</f>
        <v>14</v>
      </c>
      <c r="AM38">
        <f>FEBRERO!$AO$38</f>
        <v>14</v>
      </c>
    </row>
    <row r="39" spans="2:44" hidden="1">
      <c r="N39" t="str">
        <f>MARZO!M39</f>
        <v>NO</v>
      </c>
      <c r="O39">
        <f>MARZO!N39</f>
        <v>0</v>
      </c>
      <c r="P39">
        <f>MARZO!O39</f>
        <v>0</v>
      </c>
      <c r="Q39">
        <f>MARZO!P39</f>
        <v>0</v>
      </c>
      <c r="R39">
        <f>MARZO!Q39</f>
        <v>0</v>
      </c>
      <c r="U39" s="32">
        <f>DAY(U38)</f>
        <v>19</v>
      </c>
      <c r="V39" s="32">
        <f>MONTH(U38)</f>
        <v>5</v>
      </c>
      <c r="W39" s="31"/>
      <c r="X39" s="31"/>
      <c r="AD39" t="str">
        <f>FEBRERO!AI39</f>
        <v>NO</v>
      </c>
      <c r="AE39" t="str">
        <f>FEBRERO!AJ39</f>
        <v/>
      </c>
      <c r="AF39">
        <f>FEBRERO!AK39</f>
        <v>0</v>
      </c>
      <c r="AG39" s="1123">
        <f>FEBRERO!AL39</f>
        <v>45382</v>
      </c>
      <c r="AH39" s="1123"/>
      <c r="AI39">
        <f>FEBRERO!AN39</f>
        <v>0</v>
      </c>
      <c r="AJ39">
        <f>FEBRERO!AO39</f>
        <v>0</v>
      </c>
    </row>
    <row r="40" spans="2:44" ht="14.4" hidden="1">
      <c r="F40" s="175">
        <v>1</v>
      </c>
      <c r="G40" s="175" t="s">
        <v>632</v>
      </c>
      <c r="N40">
        <f>MARZO!M40</f>
        <v>8</v>
      </c>
      <c r="O40">
        <f>MARZO!N40</f>
        <v>0</v>
      </c>
      <c r="P40">
        <f>MARZO!O40</f>
        <v>0</v>
      </c>
      <c r="Q40">
        <f>MARZO!P40</f>
        <v>0</v>
      </c>
      <c r="R40">
        <f>MARZO!Q40</f>
        <v>0</v>
      </c>
      <c r="U40" s="32">
        <f>IF(V39=5,U39,"NO")</f>
        <v>19</v>
      </c>
      <c r="V40" s="32"/>
      <c r="W40" s="30"/>
      <c r="X40" s="30"/>
      <c r="AR40" s="330"/>
    </row>
    <row r="41" spans="2:44" ht="14.4" hidden="1">
      <c r="F41" s="175">
        <v>2</v>
      </c>
      <c r="G41" s="175" t="s">
        <v>472</v>
      </c>
      <c r="N41" t="str">
        <f>MARZO!M41</f>
        <v>NO</v>
      </c>
      <c r="O41">
        <f>MARZO!N41</f>
        <v>0</v>
      </c>
      <c r="P41">
        <f>MARZO!O41</f>
        <v>0</v>
      </c>
      <c r="Q41">
        <f>MARZO!P41</f>
        <v>0</v>
      </c>
      <c r="R41">
        <f>MARZO!Q41</f>
        <v>0</v>
      </c>
      <c r="U41" s="32" t="str">
        <f>IF(V39=6,U39,"NO")</f>
        <v>NO</v>
      </c>
      <c r="V41" s="32"/>
      <c r="W41" s="30"/>
      <c r="X41" s="30"/>
      <c r="AC41" s="930"/>
      <c r="AD41" s="930"/>
      <c r="AE41" s="930"/>
      <c r="AF41" s="930"/>
      <c r="AL41" t="s">
        <v>731</v>
      </c>
      <c r="AR41" s="330"/>
    </row>
    <row r="42" spans="2:44" ht="14.4" hidden="1">
      <c r="F42" s="175">
        <v>3</v>
      </c>
      <c r="G42" s="175" t="s">
        <v>633</v>
      </c>
      <c r="N42" s="175" t="s">
        <v>13</v>
      </c>
      <c r="S42" t="s">
        <v>73</v>
      </c>
      <c r="AB42" s="1160">
        <f>MARZO!Z42</f>
        <v>45413</v>
      </c>
      <c r="AC42" s="1160"/>
      <c r="AD42" s="1160"/>
      <c r="AE42">
        <f>MARZO!AB42</f>
        <v>0</v>
      </c>
      <c r="AF42">
        <f>MARZO!AC42</f>
        <v>3</v>
      </c>
      <c r="AG42">
        <f>MARZO!AD42</f>
        <v>4</v>
      </c>
      <c r="AH42">
        <f>MARZO!AE42</f>
        <v>0</v>
      </c>
      <c r="AI42">
        <f>MARZO!AF42</f>
        <v>0</v>
      </c>
      <c r="AL42" s="1148">
        <f>calendario!$S$62</f>
        <v>45424</v>
      </c>
      <c r="AM42" s="1159"/>
      <c r="AR42" s="330"/>
    </row>
    <row r="43" spans="2:44" ht="14.4" hidden="1">
      <c r="F43" s="175">
        <v>4</v>
      </c>
      <c r="G43" s="175" t="s">
        <v>634</v>
      </c>
      <c r="M43" s="1149">
        <f>año!$G$33</f>
        <v>45382</v>
      </c>
      <c r="N43" s="1149"/>
      <c r="O43" s="1149"/>
      <c r="S43" s="1156" t="str">
        <f>calendario!$W$59</f>
        <v>NO</v>
      </c>
      <c r="T43" s="1156"/>
      <c r="U43" s="1156"/>
      <c r="V43" s="1156"/>
      <c r="AB43" s="930" t="str">
        <f>MARZO!Z43</f>
        <v>PRIMER DIA</v>
      </c>
      <c r="AC43" s="930"/>
      <c r="AD43" s="930"/>
      <c r="AE43" s="930"/>
      <c r="AF43">
        <f>MARZO!AC43</f>
        <v>4</v>
      </c>
      <c r="AG43">
        <f>MARZO!AD43</f>
        <v>0</v>
      </c>
      <c r="AH43">
        <f>MARZO!AE43</f>
        <v>4</v>
      </c>
      <c r="AI43">
        <f>MARZO!AF43</f>
        <v>4</v>
      </c>
      <c r="AL43">
        <f>IF(AL42="NO","NO",DAY(AL42))</f>
        <v>12</v>
      </c>
      <c r="AR43" s="330"/>
    </row>
    <row r="44" spans="2:44" ht="14.4" hidden="1">
      <c r="F44" s="175">
        <v>5</v>
      </c>
      <c r="G44" s="175" t="s">
        <v>635</v>
      </c>
      <c r="AB44" s="930" t="str">
        <f>MARZO!Z44</f>
        <v>SEGON DIA</v>
      </c>
      <c r="AC44" s="930"/>
      <c r="AD44" s="930"/>
      <c r="AE44" s="930"/>
      <c r="AF44">
        <f>MARZO!AC44</f>
        <v>5</v>
      </c>
      <c r="AG44">
        <f>MARZO!AD44</f>
        <v>0</v>
      </c>
      <c r="AH44">
        <f>MARZO!AE44</f>
        <v>5</v>
      </c>
      <c r="AR44" s="330"/>
    </row>
    <row r="45" spans="2:44" ht="14.4" hidden="1">
      <c r="F45" s="175">
        <v>6</v>
      </c>
      <c r="G45" s="175" t="s">
        <v>636</v>
      </c>
      <c r="S45" t="s">
        <v>734</v>
      </c>
      <c r="AC45">
        <f>MARZO!Z45</f>
        <v>0</v>
      </c>
      <c r="AD45">
        <f>MARZO!AA45</f>
        <v>0</v>
      </c>
      <c r="AE45">
        <f>MARZO!AB45</f>
        <v>0</v>
      </c>
      <c r="AF45">
        <f>MARZO!AC45</f>
        <v>0</v>
      </c>
      <c r="AG45">
        <f>MARZO!AD45</f>
        <v>5</v>
      </c>
      <c r="AR45" s="330"/>
    </row>
    <row r="46" spans="2:44" ht="14.4" hidden="1">
      <c r="F46" s="175">
        <v>7</v>
      </c>
      <c r="G46" s="175" t="s">
        <v>458</v>
      </c>
      <c r="S46" s="196">
        <f>JUNIO!$B$37</f>
        <v>23</v>
      </c>
      <c r="W46" s="175">
        <f>año!AI30</f>
        <v>12</v>
      </c>
      <c r="X46" s="1147" t="str">
        <f>año!AJ30</f>
        <v>ASCENSIÓ</v>
      </c>
      <c r="Y46" s="930"/>
      <c r="AB46" s="1147" t="str">
        <f>año!AM30</f>
        <v>CORPUS</v>
      </c>
      <c r="AC46" s="1147"/>
      <c r="AR46" s="330"/>
    </row>
    <row r="47" spans="2:44" ht="14.4" hidden="1">
      <c r="F47" s="175">
        <v>8</v>
      </c>
      <c r="G47" s="175" t="s">
        <v>474</v>
      </c>
      <c r="W47" s="175" t="str">
        <f>año!AI31</f>
        <v>NO</v>
      </c>
      <c r="X47" s="1148">
        <f>año!AJ31</f>
        <v>45424</v>
      </c>
      <c r="Y47" s="1155"/>
      <c r="AB47" t="str">
        <f>año!AM31</f>
        <v>NO</v>
      </c>
      <c r="AR47" s="330"/>
    </row>
    <row r="48" spans="2:44" ht="14.4" hidden="1">
      <c r="F48" s="175">
        <v>9</v>
      </c>
      <c r="G48" s="175" t="s">
        <v>637</v>
      </c>
      <c r="X48">
        <f>DAY(X47)</f>
        <v>12</v>
      </c>
      <c r="AB48">
        <f>año!AM32</f>
        <v>2</v>
      </c>
      <c r="AR48" s="330"/>
    </row>
    <row r="49" spans="6:44" ht="14.4" hidden="1">
      <c r="F49" s="175">
        <v>10</v>
      </c>
      <c r="G49" s="175" t="s">
        <v>608</v>
      </c>
      <c r="AR49" s="330"/>
    </row>
    <row r="50" spans="6:44" ht="14.4" hidden="1">
      <c r="F50" s="175">
        <v>11</v>
      </c>
      <c r="G50" s="175" t="s">
        <v>475</v>
      </c>
      <c r="AR50" s="330"/>
    </row>
    <row r="51" spans="6:44" ht="14.4" hidden="1">
      <c r="F51" s="175">
        <v>12</v>
      </c>
      <c r="G51" s="175" t="s">
        <v>476</v>
      </c>
      <c r="O51" s="213" t="str">
        <f>ABRIL!N49</f>
        <v>1erVac</v>
      </c>
      <c r="P51" s="213">
        <f>ABRIL!O49</f>
        <v>28</v>
      </c>
      <c r="Q51" s="213">
        <f>ABRIL!P49</f>
        <v>28</v>
      </c>
      <c r="R51" s="213">
        <f>ABRIL!Q49</f>
        <v>1</v>
      </c>
      <c r="S51" s="213" t="str">
        <f>ABRIL!R49</f>
        <v>no</v>
      </c>
      <c r="T51" s="213" t="str">
        <f>ABRIL!S49</f>
        <v>no</v>
      </c>
      <c r="U51" s="213" t="str">
        <f>ABRIL!T49</f>
        <v>no</v>
      </c>
      <c r="AR51" s="330"/>
    </row>
    <row r="52" spans="6:44" ht="14.4" hidden="1">
      <c r="F52" s="175">
        <v>13</v>
      </c>
      <c r="G52" s="175" t="s">
        <v>477</v>
      </c>
      <c r="O52" s="213" t="str">
        <f>ABRIL!N50</f>
        <v>Darrer</v>
      </c>
      <c r="P52" s="213">
        <f>ABRIL!O50</f>
        <v>31</v>
      </c>
      <c r="Q52" s="213">
        <f>ABRIL!P50</f>
        <v>31</v>
      </c>
      <c r="R52" s="213">
        <f>ABRIL!Q50</f>
        <v>8</v>
      </c>
      <c r="S52" s="213" t="str">
        <f>ABRIL!R50</f>
        <v>no</v>
      </c>
      <c r="T52" s="213" t="str">
        <f>ABRIL!S50</f>
        <v>no</v>
      </c>
      <c r="U52" s="213" t="str">
        <f>ABRIL!T50</f>
        <v>no</v>
      </c>
      <c r="AR52" s="330"/>
    </row>
    <row r="53" spans="6:44" ht="14.4" hidden="1">
      <c r="F53" s="175">
        <v>14</v>
      </c>
      <c r="G53" s="175" t="s">
        <v>478</v>
      </c>
      <c r="AR53" s="330"/>
    </row>
    <row r="54" spans="6:44" ht="14.4" hidden="1">
      <c r="F54" s="175">
        <v>15</v>
      </c>
      <c r="G54" s="175" t="s">
        <v>479</v>
      </c>
      <c r="AR54" s="330"/>
    </row>
    <row r="55" spans="6:44" ht="14.4" hidden="1">
      <c r="F55" s="175">
        <v>16</v>
      </c>
      <c r="G55" s="175" t="s">
        <v>638</v>
      </c>
      <c r="AR55" s="330"/>
    </row>
    <row r="56" spans="6:44" ht="14.4" hidden="1">
      <c r="F56" s="175">
        <v>17</v>
      </c>
      <c r="G56" s="175" t="s">
        <v>480</v>
      </c>
      <c r="AR56" s="330"/>
    </row>
    <row r="57" spans="6:44" ht="14.4" hidden="1">
      <c r="F57" s="175">
        <v>18</v>
      </c>
      <c r="G57" s="175" t="s">
        <v>451</v>
      </c>
      <c r="AR57" s="330"/>
    </row>
    <row r="58" spans="6:44" ht="14.4" hidden="1">
      <c r="F58" s="175">
        <v>19</v>
      </c>
      <c r="G58" s="175" t="s">
        <v>562</v>
      </c>
      <c r="AR58" s="330"/>
    </row>
    <row r="59" spans="6:44" ht="14.4" hidden="1">
      <c r="F59" s="175">
        <v>20</v>
      </c>
      <c r="G59" s="175" t="s">
        <v>481</v>
      </c>
      <c r="AR59" s="330"/>
    </row>
    <row r="60" spans="6:44" ht="14.4" hidden="1">
      <c r="F60" s="175">
        <v>21</v>
      </c>
      <c r="G60" s="175" t="s">
        <v>482</v>
      </c>
      <c r="AR60" s="330"/>
    </row>
    <row r="61" spans="6:44" ht="14.4" hidden="1">
      <c r="F61" s="175">
        <v>22</v>
      </c>
      <c r="G61" s="175" t="s">
        <v>483</v>
      </c>
      <c r="AR61" s="330"/>
    </row>
    <row r="62" spans="6:44" ht="14.4" hidden="1">
      <c r="F62" s="175">
        <v>23</v>
      </c>
      <c r="G62" s="175" t="s">
        <v>484</v>
      </c>
      <c r="AR62" s="330"/>
    </row>
    <row r="63" spans="6:44" ht="14.4" hidden="1">
      <c r="F63" s="175">
        <v>24</v>
      </c>
      <c r="G63" s="175" t="s">
        <v>639</v>
      </c>
      <c r="AR63" s="330"/>
    </row>
    <row r="64" spans="6:44" ht="14.4" hidden="1">
      <c r="F64" s="175">
        <v>25</v>
      </c>
      <c r="G64" s="175" t="s">
        <v>640</v>
      </c>
      <c r="AR64" s="330"/>
    </row>
    <row r="65" spans="6:44" ht="14.4" hidden="1">
      <c r="F65" s="175">
        <v>26</v>
      </c>
      <c r="G65" s="175" t="s">
        <v>641</v>
      </c>
      <c r="AR65" s="330"/>
    </row>
    <row r="66" spans="6:44" ht="14.4" hidden="1">
      <c r="F66" s="175">
        <v>27</v>
      </c>
      <c r="G66" s="175" t="s">
        <v>642</v>
      </c>
      <c r="AR66" s="330"/>
    </row>
    <row r="67" spans="6:44" ht="14.4" hidden="1">
      <c r="F67" s="175">
        <v>28</v>
      </c>
      <c r="G67" s="215" t="s">
        <v>954</v>
      </c>
      <c r="AR67" s="330"/>
    </row>
    <row r="68" spans="6:44" ht="14.4" hidden="1">
      <c r="F68" s="175">
        <v>29</v>
      </c>
      <c r="G68" s="215" t="s">
        <v>955</v>
      </c>
      <c r="AR68" s="330"/>
    </row>
    <row r="69" spans="6:44" ht="14.4" hidden="1">
      <c r="F69" s="175">
        <v>30</v>
      </c>
      <c r="G69" s="175" t="s">
        <v>486</v>
      </c>
      <c r="AR69" s="330"/>
    </row>
    <row r="70" spans="6:44" ht="14.4" hidden="1">
      <c r="F70" s="175">
        <v>31</v>
      </c>
      <c r="G70" s="175" t="s">
        <v>487</v>
      </c>
      <c r="AR70" s="330"/>
    </row>
  </sheetData>
  <customSheetViews>
    <customSheetView guid="{93FD35E9-1E2C-4BB9-BB5F-2E73C17EC4AF}" scale="115" showGridLines="0" showRowCol="0" outlineSymbols="0" zeroValues="0" hiddenRows="1">
      <selection activeCell="V1" sqref="V1:Z1"/>
      <pageMargins left="0.75" right="0.75" top="1" bottom="1" header="0" footer="0"/>
      <pageSetup paperSize="9" orientation="portrait" r:id="rId1"/>
      <headerFooter alignWithMargins="0"/>
    </customSheetView>
  </customSheetViews>
  <mergeCells count="113">
    <mergeCell ref="B2:U4"/>
    <mergeCell ref="AB43:AE43"/>
    <mergeCell ref="AB44:AE44"/>
    <mergeCell ref="AL42:AM42"/>
    <mergeCell ref="AC41:AF41"/>
    <mergeCell ref="AB42:AD42"/>
    <mergeCell ref="AO33:AP33"/>
    <mergeCell ref="AE34:AG34"/>
    <mergeCell ref="AH34:AJ34"/>
    <mergeCell ref="AK34:AM34"/>
    <mergeCell ref="AN34:AP34"/>
    <mergeCell ref="AI33:AJ33"/>
    <mergeCell ref="AL33:AM33"/>
    <mergeCell ref="AI36:AO36"/>
    <mergeCell ref="AG39:AH39"/>
    <mergeCell ref="AN22:AP22"/>
    <mergeCell ref="AN19:AP21"/>
    <mergeCell ref="AH18:AJ18"/>
    <mergeCell ref="AK18:AM18"/>
    <mergeCell ref="AN18:AP18"/>
    <mergeCell ref="AE15:AG17"/>
    <mergeCell ref="AH15:AJ17"/>
    <mergeCell ref="AE30:AG30"/>
    <mergeCell ref="AK30:AM30"/>
    <mergeCell ref="AJ1:AN1"/>
    <mergeCell ref="V11:X13"/>
    <mergeCell ref="Y11:AA13"/>
    <mergeCell ref="AB11:AD13"/>
    <mergeCell ref="AE11:AG13"/>
    <mergeCell ref="AH11:AJ13"/>
    <mergeCell ref="AK11:AM13"/>
    <mergeCell ref="AN11:AP13"/>
    <mergeCell ref="AO1:AP1"/>
    <mergeCell ref="AD2:AH4"/>
    <mergeCell ref="V1:Z1"/>
    <mergeCell ref="AA1:AB1"/>
    <mergeCell ref="AD5:AH7"/>
    <mergeCell ref="AN10:AP10"/>
    <mergeCell ref="V10:X10"/>
    <mergeCell ref="Y10:AA10"/>
    <mergeCell ref="AB10:AD10"/>
    <mergeCell ref="AE10:AG10"/>
    <mergeCell ref="AH10:AJ10"/>
    <mergeCell ref="AK10:AM10"/>
    <mergeCell ref="X8:AA8"/>
    <mergeCell ref="AN30:AP30"/>
    <mergeCell ref="AH26:AJ26"/>
    <mergeCell ref="AH22:AJ22"/>
    <mergeCell ref="AK22:AM22"/>
    <mergeCell ref="AK15:AM17"/>
    <mergeCell ref="AN15:AP17"/>
    <mergeCell ref="AE19:AG21"/>
    <mergeCell ref="AH19:AJ21"/>
    <mergeCell ref="AK19:AM21"/>
    <mergeCell ref="AE22:AG22"/>
    <mergeCell ref="AN23:AP25"/>
    <mergeCell ref="AH27:AJ29"/>
    <mergeCell ref="AN27:AP29"/>
    <mergeCell ref="AN26:AP26"/>
    <mergeCell ref="AK23:AM25"/>
    <mergeCell ref="AK27:AM29"/>
    <mergeCell ref="AH30:AJ30"/>
    <mergeCell ref="AK26:AM26"/>
    <mergeCell ref="AH23:AJ25"/>
    <mergeCell ref="AN14:AP14"/>
    <mergeCell ref="V14:X14"/>
    <mergeCell ref="Y14:AA14"/>
    <mergeCell ref="AB14:AD14"/>
    <mergeCell ref="AE14:AG14"/>
    <mergeCell ref="V18:X18"/>
    <mergeCell ref="Y18:AA18"/>
    <mergeCell ref="AB18:AD18"/>
    <mergeCell ref="AE18:AG18"/>
    <mergeCell ref="AH14:AJ14"/>
    <mergeCell ref="AK14:AM14"/>
    <mergeCell ref="X47:Y47"/>
    <mergeCell ref="V34:X34"/>
    <mergeCell ref="Y34:AA34"/>
    <mergeCell ref="S43:V43"/>
    <mergeCell ref="AB30:AD30"/>
    <mergeCell ref="AB31:AD33"/>
    <mergeCell ref="V30:X30"/>
    <mergeCell ref="V15:X17"/>
    <mergeCell ref="Y15:AA17"/>
    <mergeCell ref="AB15:AD17"/>
    <mergeCell ref="V19:X21"/>
    <mergeCell ref="Y19:AA21"/>
    <mergeCell ref="AB19:AD21"/>
    <mergeCell ref="B31:U34"/>
    <mergeCell ref="M43:O43"/>
    <mergeCell ref="AB46:AC46"/>
    <mergeCell ref="V22:X22"/>
    <mergeCell ref="Y26:AA26"/>
    <mergeCell ref="V27:X29"/>
    <mergeCell ref="Y30:AA30"/>
    <mergeCell ref="Y22:AA22"/>
    <mergeCell ref="AB22:AD22"/>
    <mergeCell ref="AB27:AD29"/>
    <mergeCell ref="U38:X38"/>
    <mergeCell ref="R36:S36"/>
    <mergeCell ref="X46:Y46"/>
    <mergeCell ref="AA36:AG36"/>
    <mergeCell ref="V31:X33"/>
    <mergeCell ref="Y31:AA33"/>
    <mergeCell ref="AE27:AG29"/>
    <mergeCell ref="Y27:AA29"/>
    <mergeCell ref="AE26:AG26"/>
    <mergeCell ref="V23:X25"/>
    <mergeCell ref="Y23:AA25"/>
    <mergeCell ref="AB23:AD25"/>
    <mergeCell ref="AE23:AG25"/>
    <mergeCell ref="V26:X26"/>
    <mergeCell ref="AB26:AD26"/>
  </mergeCells>
  <phoneticPr fontId="24" type="noConversion"/>
  <conditionalFormatting sqref="Z3:Z6">
    <cfRule type="cellIs" dxfId="88" priority="6" stopIfTrue="1" operator="equal">
      <formula>$AE$39</formula>
    </cfRule>
  </conditionalFormatting>
  <conditionalFormatting sqref="AB3:AB6">
    <cfRule type="cellIs" dxfId="87" priority="8" stopIfTrue="1" operator="equal">
      <formula>$AD$39</formula>
    </cfRule>
  </conditionalFormatting>
  <conditionalFormatting sqref="AB8">
    <cfRule type="cellIs" dxfId="86" priority="11" stopIfTrue="1" operator="equal">
      <formula>$AD$38</formula>
    </cfRule>
  </conditionalFormatting>
  <conditionalFormatting sqref="V11:X29">
    <cfRule type="cellIs" dxfId="85" priority="15" stopIfTrue="1" operator="equal">
      <formula>$N$41</formula>
    </cfRule>
  </conditionalFormatting>
  <conditionalFormatting sqref="V11:AP13">
    <cfRule type="cellIs" dxfId="84" priority="5" stopIfTrue="1" operator="equal">
      <formula>$AF$43</formula>
    </cfRule>
    <cfRule type="cellIs" dxfId="83" priority="13" stopIfTrue="1" operator="equal">
      <formula>$AF$44</formula>
    </cfRule>
    <cfRule type="cellIs" dxfId="82" priority="14" stopIfTrue="1" operator="equal">
      <formula>1</formula>
    </cfRule>
  </conditionalFormatting>
  <conditionalFormatting sqref="AE15:AG17 AE19:AG21 AE23:AG25 AE27:AG29">
    <cfRule type="cellIs" dxfId="81" priority="31" stopIfTrue="1" operator="equal">
      <formula>$AB$47</formula>
    </cfRule>
  </conditionalFormatting>
  <conditionalFormatting sqref="V3:V8">
    <cfRule type="cellIs" dxfId="80" priority="17" stopIfTrue="1" operator="equal">
      <formula>$N$40</formula>
    </cfRule>
    <cfRule type="cellIs" dxfId="79" priority="29" stopIfTrue="1" operator="equal">
      <formula>$N$36</formula>
    </cfRule>
  </conditionalFormatting>
  <conditionalFormatting sqref="V3:AB7 V8">
    <cfRule type="cellIs" dxfId="78" priority="30" stopIfTrue="1" operator="between">
      <formula>$R$51</formula>
      <formula>$R$52</formula>
    </cfRule>
  </conditionalFormatting>
  <conditionalFormatting sqref="V15:X17 V11:AP13">
    <cfRule type="cellIs" dxfId="77" priority="16" stopIfTrue="1" operator="between">
      <formula>$U$51</formula>
      <formula>$U$52</formula>
    </cfRule>
  </conditionalFormatting>
  <conditionalFormatting sqref="V7:AB7 V8">
    <cfRule type="cellIs" dxfId="76" priority="2" stopIfTrue="1" operator="equal">
      <formula>$AF$43</formula>
    </cfRule>
  </conditionalFormatting>
  <conditionalFormatting sqref="Y7">
    <cfRule type="cellIs" dxfId="75" priority="4" operator="equal">
      <formula>$X$48</formula>
    </cfRule>
  </conditionalFormatting>
  <conditionalFormatting sqref="AE15 AE19 AE23 AE27 AE11 AH11">
    <cfRule type="cellIs" dxfId="74" priority="32" stopIfTrue="1" operator="equal">
      <formula>$W$46</formula>
    </cfRule>
  </conditionalFormatting>
  <conditionalFormatting sqref="AN11:AP29">
    <cfRule type="cellIs" dxfId="73" priority="22" stopIfTrue="1" operator="equal">
      <formula>$U$39</formula>
    </cfRule>
    <cfRule type="cellIs" dxfId="72" priority="23" stopIfTrue="1" operator="equal">
      <formula>$N$35</formula>
    </cfRule>
  </conditionalFormatting>
  <conditionalFormatting sqref="AM3:AM6 AE18 AE22 AE11 AE15 AE26:AE27 AH11">
    <cfRule type="cellIs" dxfId="71" priority="28" stopIfTrue="1" operator="equal">
      <formula>$I$37</formula>
    </cfRule>
  </conditionalFormatting>
  <conditionalFormatting sqref="AP3:AP6">
    <cfRule type="cellIs" dxfId="70" priority="33" stopIfTrue="1" operator="equal">
      <formula>$U$39</formula>
    </cfRule>
    <cfRule type="cellIs" dxfId="69" priority="35" stopIfTrue="1" operator="equal">
      <formula>$AB$48</formula>
    </cfRule>
  </conditionalFormatting>
  <conditionalFormatting sqref="Y3:Y7">
    <cfRule type="cellIs" dxfId="68" priority="3" operator="equal">
      <formula>$U$36</formula>
    </cfRule>
  </conditionalFormatting>
  <conditionalFormatting sqref="AP3:AP7">
    <cfRule type="cellIs" dxfId="67" priority="1" operator="equal">
      <formula>$W$47</formula>
    </cfRule>
    <cfRule type="cellIs" dxfId="66" priority="39" stopIfTrue="1" operator="equal">
      <formula>$S$46</formula>
    </cfRule>
  </conditionalFormatting>
  <hyperlinks>
    <hyperlink ref="AD5:AH7" location="año!A1" display="año!A1"/>
    <hyperlink ref="V1:Z1" location="ABRIL!A1" display="ABRIL!A1"/>
    <hyperlink ref="AJ1:AN1" location="JUNIO!A1" display="JUNIO!A1"/>
    <hyperlink ref="AI36:AO36" location="PORTADA!A1" display="IR A PORTADA"/>
    <hyperlink ref="AA36:AG36" location="año!A1" display="IR A AÑO COMPLETO"/>
  </hyperlinks>
  <pageMargins left="0.25" right="0.25" top="0.75" bottom="0.75" header="0.3" footer="0.3"/>
  <pageSetup paperSize="9" orientation="landscape" r:id="rId2"/>
  <headerFooter alignWithMargins="0"/>
  <drawing r:id="rId3"/>
</worksheet>
</file>

<file path=xl/worksheets/sheet14.xml><?xml version="1.0" encoding="utf-8"?>
<worksheet xmlns="http://schemas.openxmlformats.org/spreadsheetml/2006/main" xmlns:r="http://schemas.openxmlformats.org/officeDocument/2006/relationships">
  <sheetPr codeName="Hoja14"/>
  <dimension ref="A1:AP72"/>
  <sheetViews>
    <sheetView showGridLines="0" showRowColHeaders="0" showZeros="0" showOutlineSymbols="0" zoomScale="125" zoomScaleNormal="125" workbookViewId="0">
      <selection activeCell="AS72" sqref="AS72"/>
    </sheetView>
  </sheetViews>
  <sheetFormatPr baseColWidth="10" defaultColWidth="3.33203125" defaultRowHeight="13.2"/>
  <cols>
    <col min="7" max="7" width="6.77734375" bestFit="1" customWidth="1"/>
    <col min="27" max="27" width="3.77734375" customWidth="1"/>
    <col min="33" max="33" width="7.33203125" bestFit="1" customWidth="1"/>
  </cols>
  <sheetData>
    <row r="1" spans="1:42" ht="10.5" customHeight="1" thickBot="1">
      <c r="A1" s="166"/>
      <c r="B1" s="397"/>
      <c r="C1" s="345"/>
      <c r="D1" s="345"/>
      <c r="E1" s="345"/>
      <c r="F1" s="345"/>
      <c r="G1" s="345"/>
      <c r="H1" s="345"/>
      <c r="I1" s="345"/>
      <c r="J1" s="345"/>
      <c r="K1" s="345"/>
      <c r="L1" s="345"/>
      <c r="M1" s="345"/>
      <c r="N1" s="345"/>
      <c r="O1" s="345"/>
      <c r="P1" s="345"/>
      <c r="Q1" s="345"/>
      <c r="R1" s="345"/>
      <c r="S1" s="345"/>
      <c r="T1" s="345"/>
      <c r="U1" s="345"/>
      <c r="V1" s="1055" t="str">
        <f>año!$S$4</f>
        <v>MARZO</v>
      </c>
      <c r="W1" s="1056"/>
      <c r="X1" s="1056"/>
      <c r="Y1" s="1056"/>
      <c r="Z1" s="1056"/>
      <c r="AA1" s="1057">
        <f>año!$O$1</f>
        <v>2024</v>
      </c>
      <c r="AB1" s="1058"/>
      <c r="AJ1" s="1055" t="str">
        <f>año!$C$13</f>
        <v>MAYO</v>
      </c>
      <c r="AK1" s="1056"/>
      <c r="AL1" s="1056"/>
      <c r="AM1" s="1056"/>
      <c r="AN1" s="1056"/>
      <c r="AO1" s="1098">
        <f>año!$O$1</f>
        <v>2024</v>
      </c>
      <c r="AP1" s="1099"/>
    </row>
    <row r="2" spans="1:42" ht="9" customHeight="1" thickBot="1">
      <c r="A2" s="166"/>
      <c r="B2" s="1132" t="s">
        <v>991</v>
      </c>
      <c r="C2" s="1132"/>
      <c r="D2" s="1132"/>
      <c r="E2" s="1132"/>
      <c r="F2" s="1132"/>
      <c r="G2" s="1132"/>
      <c r="H2" s="1132"/>
      <c r="I2" s="1132"/>
      <c r="J2" s="1132"/>
      <c r="K2" s="1132"/>
      <c r="L2" s="1132"/>
      <c r="M2" s="1132"/>
      <c r="N2" s="1132"/>
      <c r="O2" s="1132"/>
      <c r="P2" s="1132"/>
      <c r="Q2" s="1132"/>
      <c r="R2" s="1132"/>
      <c r="S2" s="1132"/>
      <c r="T2" s="1132"/>
      <c r="U2" s="1133"/>
      <c r="V2" s="119" t="s">
        <v>20</v>
      </c>
      <c r="W2" s="120" t="s">
        <v>17</v>
      </c>
      <c r="X2" s="120" t="s">
        <v>29</v>
      </c>
      <c r="Y2" s="120" t="s">
        <v>24</v>
      </c>
      <c r="Z2" s="120" t="s">
        <v>12</v>
      </c>
      <c r="AA2" s="120" t="s">
        <v>7</v>
      </c>
      <c r="AB2" s="121" t="s">
        <v>15</v>
      </c>
      <c r="AD2" s="1126" t="str">
        <f>año!$AA$4</f>
        <v>ABRIL</v>
      </c>
      <c r="AE2" s="1126"/>
      <c r="AF2" s="1126"/>
      <c r="AG2" s="1126"/>
      <c r="AH2" s="1126"/>
      <c r="AJ2" s="119" t="s">
        <v>20</v>
      </c>
      <c r="AK2" s="120" t="s">
        <v>17</v>
      </c>
      <c r="AL2" s="120" t="s">
        <v>29</v>
      </c>
      <c r="AM2" s="120" t="s">
        <v>24</v>
      </c>
      <c r="AN2" s="120" t="s">
        <v>12</v>
      </c>
      <c r="AO2" s="120" t="s">
        <v>7</v>
      </c>
      <c r="AP2" s="121" t="s">
        <v>15</v>
      </c>
    </row>
    <row r="3" spans="1:42" ht="9" customHeight="1">
      <c r="A3" s="166"/>
      <c r="B3" s="1132"/>
      <c r="C3" s="1132"/>
      <c r="D3" s="1132"/>
      <c r="E3" s="1132"/>
      <c r="F3" s="1132"/>
      <c r="G3" s="1132"/>
      <c r="H3" s="1132"/>
      <c r="I3" s="1132"/>
      <c r="J3" s="1132"/>
      <c r="K3" s="1132"/>
      <c r="L3" s="1132"/>
      <c r="M3" s="1132"/>
      <c r="N3" s="1132"/>
      <c r="O3" s="1132"/>
      <c r="P3" s="1132"/>
      <c r="Q3" s="1132"/>
      <c r="R3" s="1132"/>
      <c r="S3" s="1132"/>
      <c r="T3" s="1132"/>
      <c r="U3" s="1133"/>
      <c r="V3" s="135" t="str">
        <f>año!S6</f>
        <v xml:space="preserve"> </v>
      </c>
      <c r="W3" s="123" t="str">
        <f>año!T6</f>
        <v xml:space="preserve"> </v>
      </c>
      <c r="X3" s="123" t="str">
        <f>año!U6</f>
        <v xml:space="preserve"> </v>
      </c>
      <c r="Y3" s="123" t="str">
        <f>año!V6</f>
        <v xml:space="preserve"> </v>
      </c>
      <c r="Z3" s="123">
        <f>año!W6</f>
        <v>1</v>
      </c>
      <c r="AA3" s="123">
        <f>año!X6</f>
        <v>2</v>
      </c>
      <c r="AB3" s="132">
        <f>año!Y6</f>
        <v>3</v>
      </c>
      <c r="AD3" s="1126"/>
      <c r="AE3" s="1126"/>
      <c r="AF3" s="1126"/>
      <c r="AG3" s="1126"/>
      <c r="AH3" s="1126"/>
      <c r="AJ3" s="128" t="str">
        <f>año!C15</f>
        <v xml:space="preserve"> </v>
      </c>
      <c r="AK3" s="129" t="str">
        <f>año!D15</f>
        <v xml:space="preserve"> </v>
      </c>
      <c r="AL3" s="129">
        <f>año!E15</f>
        <v>1</v>
      </c>
      <c r="AM3" s="129">
        <f>año!F15</f>
        <v>2</v>
      </c>
      <c r="AN3" s="129">
        <f>año!G15</f>
        <v>3</v>
      </c>
      <c r="AO3" s="129">
        <f>año!H15</f>
        <v>4</v>
      </c>
      <c r="AP3" s="132">
        <f>año!I15</f>
        <v>5</v>
      </c>
    </row>
    <row r="4" spans="1:42" ht="9" customHeight="1">
      <c r="A4" s="166"/>
      <c r="B4" s="1132"/>
      <c r="C4" s="1132"/>
      <c r="D4" s="1132"/>
      <c r="E4" s="1132"/>
      <c r="F4" s="1132"/>
      <c r="G4" s="1132"/>
      <c r="H4" s="1132"/>
      <c r="I4" s="1132"/>
      <c r="J4" s="1132"/>
      <c r="K4" s="1132"/>
      <c r="L4" s="1132"/>
      <c r="M4" s="1132"/>
      <c r="N4" s="1132"/>
      <c r="O4" s="1132"/>
      <c r="P4" s="1132"/>
      <c r="Q4" s="1132"/>
      <c r="R4" s="1132"/>
      <c r="S4" s="1132"/>
      <c r="T4" s="1132"/>
      <c r="U4" s="1133"/>
      <c r="V4" s="124">
        <f>año!S7</f>
        <v>4</v>
      </c>
      <c r="W4" s="125">
        <f>año!T7</f>
        <v>5</v>
      </c>
      <c r="X4" s="125">
        <f>año!U7</f>
        <v>6</v>
      </c>
      <c r="Y4" s="125">
        <f>año!V7</f>
        <v>7</v>
      </c>
      <c r="Z4" s="125">
        <f>año!W7</f>
        <v>8</v>
      </c>
      <c r="AA4" s="125">
        <f>año!X7</f>
        <v>9</v>
      </c>
      <c r="AB4" s="133">
        <f>año!Y7</f>
        <v>10</v>
      </c>
      <c r="AD4" s="1126"/>
      <c r="AE4" s="1126"/>
      <c r="AF4" s="1126"/>
      <c r="AG4" s="1126"/>
      <c r="AH4" s="1126"/>
      <c r="AJ4" s="384">
        <f>año!C16</f>
        <v>6</v>
      </c>
      <c r="AK4" s="131">
        <f>año!D16</f>
        <v>7</v>
      </c>
      <c r="AL4" s="131">
        <f>año!E16</f>
        <v>8</v>
      </c>
      <c r="AM4" s="131">
        <f>año!F16</f>
        <v>9</v>
      </c>
      <c r="AN4" s="131">
        <f>año!G16</f>
        <v>10</v>
      </c>
      <c r="AO4" s="131">
        <f>año!H16</f>
        <v>11</v>
      </c>
      <c r="AP4" s="133">
        <f>año!I16</f>
        <v>12</v>
      </c>
    </row>
    <row r="5" spans="1:42" ht="9" customHeight="1">
      <c r="A5" s="166"/>
      <c r="C5" s="344"/>
      <c r="D5" s="344"/>
      <c r="E5" s="344"/>
      <c r="F5" s="344"/>
      <c r="G5" s="344"/>
      <c r="H5" s="344"/>
      <c r="I5" s="344"/>
      <c r="J5" s="344"/>
      <c r="K5" s="344"/>
      <c r="L5" s="344"/>
      <c r="M5" s="344"/>
      <c r="N5" s="344"/>
      <c r="O5" s="344"/>
      <c r="P5" s="344"/>
      <c r="Q5" s="344"/>
      <c r="R5" s="344"/>
      <c r="S5" s="344"/>
      <c r="T5" s="344"/>
      <c r="U5" s="347"/>
      <c r="V5" s="124">
        <f>año!S8</f>
        <v>11</v>
      </c>
      <c r="W5" s="125">
        <f>año!T8</f>
        <v>12</v>
      </c>
      <c r="X5" s="125">
        <f>año!U8</f>
        <v>13</v>
      </c>
      <c r="Y5" s="125">
        <f>año!V8</f>
        <v>14</v>
      </c>
      <c r="Z5" s="125">
        <f>año!W8</f>
        <v>15</v>
      </c>
      <c r="AA5" s="125">
        <f>año!X8</f>
        <v>16</v>
      </c>
      <c r="AB5" s="133">
        <f>año!Y8</f>
        <v>17</v>
      </c>
      <c r="AD5" s="1044">
        <f>año!$O$1</f>
        <v>2024</v>
      </c>
      <c r="AE5" s="1045"/>
      <c r="AF5" s="1045"/>
      <c r="AG5" s="1045"/>
      <c r="AH5" s="1045"/>
      <c r="AJ5" s="130">
        <f>año!C17</f>
        <v>13</v>
      </c>
      <c r="AK5" s="131">
        <f>año!D17</f>
        <v>14</v>
      </c>
      <c r="AL5" s="131">
        <f>año!E17</f>
        <v>15</v>
      </c>
      <c r="AM5" s="131">
        <f>año!F17</f>
        <v>16</v>
      </c>
      <c r="AN5" s="131">
        <f>año!G17</f>
        <v>17</v>
      </c>
      <c r="AO5" s="131">
        <f>año!H17</f>
        <v>18</v>
      </c>
      <c r="AP5" s="420">
        <f>año!I17</f>
        <v>19</v>
      </c>
    </row>
    <row r="6" spans="1:42" ht="9" customHeight="1">
      <c r="B6" s="346"/>
      <c r="D6" s="344"/>
      <c r="E6" s="344"/>
      <c r="F6" s="344"/>
      <c r="G6" s="344"/>
      <c r="H6" s="344"/>
      <c r="I6" s="344"/>
      <c r="J6" s="344"/>
      <c r="K6" s="344"/>
      <c r="L6" s="344"/>
      <c r="M6" s="344"/>
      <c r="N6" s="344"/>
      <c r="O6" s="344"/>
      <c r="P6" s="344"/>
      <c r="Q6" s="344"/>
      <c r="R6" s="344"/>
      <c r="S6" s="344"/>
      <c r="T6" s="344"/>
      <c r="U6" s="347"/>
      <c r="V6" s="124">
        <f>año!S9</f>
        <v>18</v>
      </c>
      <c r="W6" s="125">
        <f>año!T9</f>
        <v>19</v>
      </c>
      <c r="X6" s="125">
        <f>año!U9</f>
        <v>20</v>
      </c>
      <c r="Y6" s="216">
        <f>año!V9</f>
        <v>21</v>
      </c>
      <c r="Z6" s="125">
        <f>año!W9</f>
        <v>22</v>
      </c>
      <c r="AA6" s="125">
        <f>año!X9</f>
        <v>23</v>
      </c>
      <c r="AB6" s="133">
        <f>año!Y9</f>
        <v>24</v>
      </c>
      <c r="AD6" s="1045"/>
      <c r="AE6" s="1045"/>
      <c r="AF6" s="1045"/>
      <c r="AG6" s="1045"/>
      <c r="AH6" s="1045"/>
      <c r="AJ6" s="130">
        <f>año!C18</f>
        <v>20</v>
      </c>
      <c r="AK6" s="131">
        <f>año!D18</f>
        <v>21</v>
      </c>
      <c r="AL6" s="131">
        <f>año!E18</f>
        <v>22</v>
      </c>
      <c r="AM6" s="131">
        <f>año!F18</f>
        <v>23</v>
      </c>
      <c r="AN6" s="131">
        <f>año!G18</f>
        <v>24</v>
      </c>
      <c r="AO6" s="131">
        <f>año!H18</f>
        <v>25</v>
      </c>
      <c r="AP6" s="133">
        <f>año!I18</f>
        <v>26</v>
      </c>
    </row>
    <row r="7" spans="1:42" ht="9" customHeight="1">
      <c r="B7" s="346"/>
      <c r="C7" s="344"/>
      <c r="D7" s="344"/>
      <c r="E7" s="344"/>
      <c r="F7" s="344"/>
      <c r="G7" s="344"/>
      <c r="H7" s="344"/>
      <c r="I7" s="344"/>
      <c r="J7" s="344"/>
      <c r="K7" s="344"/>
      <c r="L7" s="344"/>
      <c r="M7" s="344"/>
      <c r="N7" s="344"/>
      <c r="O7" s="344"/>
      <c r="P7" s="344"/>
      <c r="Q7" s="344"/>
      <c r="R7" s="344"/>
      <c r="S7" s="344"/>
      <c r="T7" s="344"/>
      <c r="U7" s="347"/>
      <c r="V7" s="124">
        <f>año!S10</f>
        <v>25</v>
      </c>
      <c r="W7" s="125">
        <f>año!T10</f>
        <v>26</v>
      </c>
      <c r="X7" s="125">
        <f>año!U10</f>
        <v>27</v>
      </c>
      <c r="Y7" s="125">
        <f>año!V10</f>
        <v>28</v>
      </c>
      <c r="Z7" s="125">
        <f>año!W10</f>
        <v>29</v>
      </c>
      <c r="AA7" s="125">
        <f>año!X10</f>
        <v>30</v>
      </c>
      <c r="AB7" s="133">
        <f>año!Y10</f>
        <v>31</v>
      </c>
      <c r="AD7" s="1045"/>
      <c r="AE7" s="1045"/>
      <c r="AF7" s="1045"/>
      <c r="AG7" s="1045"/>
      <c r="AH7" s="1045"/>
      <c r="AJ7" s="130">
        <f>año!C19</f>
        <v>27</v>
      </c>
      <c r="AK7" s="131">
        <f>año!D19</f>
        <v>28</v>
      </c>
      <c r="AL7" s="131">
        <f>año!E19</f>
        <v>29</v>
      </c>
      <c r="AM7" s="131">
        <f>año!F19</f>
        <v>30</v>
      </c>
      <c r="AN7" s="131">
        <f>año!G19</f>
        <v>31</v>
      </c>
      <c r="AO7" s="131" t="str">
        <f>año!H19</f>
        <v xml:space="preserve"> </v>
      </c>
      <c r="AP7" s="133" t="str">
        <f>año!I19</f>
        <v xml:space="preserve"> </v>
      </c>
    </row>
    <row r="8" spans="1:42" ht="9" customHeight="1" thickBot="1">
      <c r="B8" s="346"/>
      <c r="C8" s="344"/>
      <c r="D8" s="344"/>
      <c r="E8" s="344"/>
      <c r="F8" s="344"/>
      <c r="G8" s="344"/>
      <c r="H8" s="344"/>
      <c r="I8" s="344"/>
      <c r="J8" s="344"/>
      <c r="K8" s="344"/>
      <c r="L8" s="344"/>
      <c r="M8" s="344"/>
      <c r="N8" s="344"/>
      <c r="O8" s="344"/>
      <c r="P8" s="344"/>
      <c r="Q8" s="344"/>
      <c r="R8" s="344"/>
      <c r="S8" s="344"/>
      <c r="T8" s="344"/>
      <c r="U8" s="347"/>
      <c r="V8" s="126">
        <f>año!S11</f>
        <v>0</v>
      </c>
      <c r="W8" s="127" t="str">
        <f>año!T11</f>
        <v xml:space="preserve"> </v>
      </c>
      <c r="X8" s="1157" t="str">
        <f>año!U11</f>
        <v>LUNA LLENA PASCUAL</v>
      </c>
      <c r="Y8" s="1158"/>
      <c r="Z8" s="1158"/>
      <c r="AA8" s="1158"/>
      <c r="AB8" s="134">
        <f>año!Y11</f>
        <v>25</v>
      </c>
      <c r="AJ8" s="126" t="str">
        <f>año!C20</f>
        <v xml:space="preserve"> </v>
      </c>
      <c r="AK8" s="127" t="str">
        <f>año!D20</f>
        <v xml:space="preserve"> </v>
      </c>
      <c r="AL8" s="127" t="str">
        <f>año!E20</f>
        <v xml:space="preserve"> </v>
      </c>
      <c r="AM8" s="127" t="str">
        <f>año!F20</f>
        <v xml:space="preserve"> </v>
      </c>
      <c r="AN8" s="127" t="str">
        <f>año!G20</f>
        <v xml:space="preserve"> </v>
      </c>
      <c r="AO8" s="127" t="str">
        <f>año!H20</f>
        <v xml:space="preserve"> </v>
      </c>
      <c r="AP8" s="137" t="str">
        <f>año!I20</f>
        <v xml:space="preserve"> </v>
      </c>
    </row>
    <row r="9" spans="1:42" ht="9" customHeight="1">
      <c r="B9" s="346"/>
      <c r="C9" s="344"/>
      <c r="D9" s="344"/>
      <c r="E9" s="344"/>
      <c r="F9" s="344"/>
      <c r="G9" s="344"/>
      <c r="H9" s="344"/>
      <c r="I9" s="344"/>
      <c r="J9" s="344"/>
      <c r="K9" s="344"/>
      <c r="L9" s="344"/>
      <c r="M9" s="344"/>
      <c r="N9" s="344"/>
      <c r="O9" s="344"/>
      <c r="P9" s="344"/>
      <c r="Q9" s="344"/>
      <c r="R9" s="344"/>
      <c r="S9" s="344"/>
      <c r="T9" s="344"/>
      <c r="U9" s="348"/>
      <c r="V9" s="112"/>
      <c r="W9" s="112"/>
      <c r="X9" s="112"/>
      <c r="Y9" s="112"/>
      <c r="Z9" s="112"/>
      <c r="AA9" s="112"/>
      <c r="AB9" s="112"/>
      <c r="AC9" s="112"/>
      <c r="AD9" s="112"/>
      <c r="AE9" s="112"/>
      <c r="AF9" s="112"/>
      <c r="AG9" s="112"/>
      <c r="AH9" s="112"/>
      <c r="AI9" s="112"/>
      <c r="AJ9" s="112"/>
      <c r="AK9" s="112"/>
      <c r="AL9" s="112"/>
      <c r="AM9" s="112"/>
      <c r="AN9" s="112"/>
      <c r="AO9" s="112"/>
      <c r="AP9" s="112"/>
    </row>
    <row r="10" spans="1:42" ht="9" customHeight="1">
      <c r="B10" s="346"/>
      <c r="C10" s="344"/>
      <c r="D10" s="344"/>
      <c r="E10" s="344"/>
      <c r="F10" s="344"/>
      <c r="G10" s="344"/>
      <c r="H10" s="344"/>
      <c r="I10" s="344"/>
      <c r="J10" s="344"/>
      <c r="K10" s="344"/>
      <c r="L10" s="344"/>
      <c r="M10" s="344"/>
      <c r="N10" s="344"/>
      <c r="O10" s="344"/>
      <c r="P10" s="344"/>
      <c r="Q10" s="344"/>
      <c r="R10" s="344"/>
      <c r="S10" s="344"/>
      <c r="T10" s="344"/>
      <c r="U10" s="348"/>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047"/>
    </row>
    <row r="11" spans="1:42" ht="9" customHeight="1">
      <c r="B11" s="346"/>
      <c r="C11" s="344"/>
      <c r="D11" s="344"/>
      <c r="E11" s="344"/>
      <c r="F11" s="344"/>
      <c r="G11" s="344"/>
      <c r="H11" s="344"/>
      <c r="I11" s="344"/>
      <c r="J11" s="344"/>
      <c r="K11" s="344"/>
      <c r="L11" s="344"/>
      <c r="M11" s="344"/>
      <c r="N11" s="344"/>
      <c r="O11" s="344"/>
      <c r="P11" s="344"/>
      <c r="Q11" s="344"/>
      <c r="R11" s="344"/>
      <c r="S11" s="344"/>
      <c r="T11" s="344"/>
      <c r="U11" s="348"/>
      <c r="V11" s="1172">
        <f>año!AA6</f>
        <v>1</v>
      </c>
      <c r="W11" s="1173"/>
      <c r="X11" s="1173"/>
      <c r="Y11" s="1061">
        <f>año!AB6</f>
        <v>2</v>
      </c>
      <c r="Z11" s="1061"/>
      <c r="AA11" s="1061"/>
      <c r="AB11" s="1061">
        <f>año!AC6</f>
        <v>3</v>
      </c>
      <c r="AC11" s="1061"/>
      <c r="AD11" s="1061"/>
      <c r="AE11" s="1061">
        <f>año!AD6</f>
        <v>4</v>
      </c>
      <c r="AF11" s="1061"/>
      <c r="AG11" s="1061"/>
      <c r="AH11" s="1061">
        <f>año!AE6</f>
        <v>5</v>
      </c>
      <c r="AI11" s="1061"/>
      <c r="AJ11" s="1061"/>
      <c r="AK11" s="1061">
        <f>año!AF6</f>
        <v>6</v>
      </c>
      <c r="AL11" s="1061"/>
      <c r="AM11" s="1061"/>
      <c r="AN11" s="1062">
        <f>año!AG6</f>
        <v>7</v>
      </c>
      <c r="AO11" s="1062"/>
      <c r="AP11" s="1063"/>
    </row>
    <row r="12" spans="1:42" ht="9" customHeight="1">
      <c r="B12" s="346"/>
      <c r="C12" s="344"/>
      <c r="D12" s="344"/>
      <c r="E12" s="344"/>
      <c r="F12" s="344"/>
      <c r="G12" s="344"/>
      <c r="H12" s="344"/>
      <c r="I12" s="344"/>
      <c r="J12" s="344"/>
      <c r="K12" s="344"/>
      <c r="L12" s="344"/>
      <c r="M12" s="344"/>
      <c r="N12" s="344"/>
      <c r="O12" s="344"/>
      <c r="P12" s="344"/>
      <c r="Q12" s="344"/>
      <c r="R12" s="344"/>
      <c r="S12" s="344"/>
      <c r="T12" s="344"/>
      <c r="U12" s="348"/>
      <c r="V12" s="1153"/>
      <c r="W12" s="1110"/>
      <c r="X12" s="1110"/>
      <c r="Y12" s="1052"/>
      <c r="Z12" s="1052"/>
      <c r="AA12" s="1052"/>
      <c r="AB12" s="1052"/>
      <c r="AC12" s="1052"/>
      <c r="AD12" s="1052"/>
      <c r="AE12" s="1052"/>
      <c r="AF12" s="1052"/>
      <c r="AG12" s="1052"/>
      <c r="AH12" s="1052"/>
      <c r="AI12" s="1052"/>
      <c r="AJ12" s="1052"/>
      <c r="AK12" s="1052"/>
      <c r="AL12" s="1052"/>
      <c r="AM12" s="1052"/>
      <c r="AN12" s="1064"/>
      <c r="AO12" s="1064"/>
      <c r="AP12" s="1065"/>
    </row>
    <row r="13" spans="1:42" ht="9" customHeight="1">
      <c r="B13" s="346"/>
      <c r="C13" s="344"/>
      <c r="D13" s="344"/>
      <c r="E13" s="344"/>
      <c r="F13" s="344"/>
      <c r="G13" s="344"/>
      <c r="H13" s="344"/>
      <c r="I13" s="344"/>
      <c r="J13" s="344"/>
      <c r="K13" s="344"/>
      <c r="L13" s="344"/>
      <c r="M13" s="344"/>
      <c r="N13" s="344"/>
      <c r="O13" s="344"/>
      <c r="P13" s="344"/>
      <c r="Q13" s="344"/>
      <c r="R13" s="344"/>
      <c r="S13" s="344"/>
      <c r="T13" s="344"/>
      <c r="U13" s="348"/>
      <c r="V13" s="1153"/>
      <c r="W13" s="1110"/>
      <c r="X13" s="1110"/>
      <c r="Y13" s="1052"/>
      <c r="Z13" s="1052"/>
      <c r="AA13" s="1052"/>
      <c r="AB13" s="1052"/>
      <c r="AC13" s="1052"/>
      <c r="AD13" s="1052"/>
      <c r="AE13" s="1052"/>
      <c r="AF13" s="1052"/>
      <c r="AG13" s="1052"/>
      <c r="AH13" s="1052"/>
      <c r="AI13" s="1052"/>
      <c r="AJ13" s="1052"/>
      <c r="AK13" s="1052"/>
      <c r="AL13" s="1052"/>
      <c r="AM13" s="1052"/>
      <c r="AN13" s="1064"/>
      <c r="AO13" s="1064"/>
      <c r="AP13" s="1065"/>
    </row>
    <row r="14" spans="1:42" ht="9" customHeight="1">
      <c r="B14" s="346"/>
      <c r="C14" s="344"/>
      <c r="D14" s="344"/>
      <c r="E14" s="344"/>
      <c r="F14" s="344"/>
      <c r="G14" s="344"/>
      <c r="H14" s="344"/>
      <c r="I14" s="344"/>
      <c r="J14" s="344"/>
      <c r="K14" s="344"/>
      <c r="L14" s="344"/>
      <c r="M14" s="344"/>
      <c r="N14" s="344"/>
      <c r="O14" s="344"/>
      <c r="P14" s="344"/>
      <c r="Q14" s="344"/>
      <c r="R14" s="344"/>
      <c r="S14" s="344"/>
      <c r="T14" s="344"/>
      <c r="U14" s="348"/>
      <c r="V14" s="1049" t="str">
        <f>IF(V11&lt;&gt;" ",VLOOKUP(V11,$F$42:$H$72,2)," ")</f>
        <v>Hugo</v>
      </c>
      <c r="W14" s="1050"/>
      <c r="X14" s="1050"/>
      <c r="Y14" s="1050" t="str">
        <f>IF(Y11&lt;&gt;" ",VLOOKUP(Y11,$F$42:$H$72,2)," ")</f>
        <v>Francisco Paula</v>
      </c>
      <c r="Z14" s="1050"/>
      <c r="AA14" s="1050"/>
      <c r="AB14" s="1050" t="str">
        <f>IF(AB11&lt;&gt;" ",VLOOKUP(AB11,$F$42:$H$72,2)," ")</f>
        <v>Irene/Ricardo</v>
      </c>
      <c r="AC14" s="1050"/>
      <c r="AD14" s="1050"/>
      <c r="AE14" s="1050" t="str">
        <f>IF(AE11&lt;&gt;" ",VLOOKUP(AE11,$F$42:$H$72,2)," ")</f>
        <v>Benito Palermo</v>
      </c>
      <c r="AF14" s="1050"/>
      <c r="AG14" s="1050"/>
      <c r="AH14" s="1050" t="str">
        <f>IF(AH11&lt;&gt;" ",VLOOKUP(AH11,$F$42:$H$72,2)," ")</f>
        <v>Vicente Ferrer</v>
      </c>
      <c r="AI14" s="1050"/>
      <c r="AJ14" s="1050"/>
      <c r="AK14" s="1050" t="str">
        <f>IF(AK11&lt;&gt;" ",VLOOKUP(AK11,$F$42:$H$72,2)," ")</f>
        <v>Celestino/Samuel</v>
      </c>
      <c r="AL14" s="1050"/>
      <c r="AM14" s="1050"/>
      <c r="AN14" s="1050" t="str">
        <f>IF(AN11&lt;&gt;" ",VLOOKUP(AN11,$F$42:$H$72,2)," ")</f>
        <v>Juan Bta Salle</v>
      </c>
      <c r="AO14" s="1050"/>
      <c r="AP14" s="1066"/>
    </row>
    <row r="15" spans="1:42" ht="9" customHeight="1">
      <c r="B15" s="346"/>
      <c r="C15" s="344"/>
      <c r="D15" s="344"/>
      <c r="E15" s="344"/>
      <c r="F15" s="344"/>
      <c r="G15" s="344"/>
      <c r="H15" s="344"/>
      <c r="I15" s="344"/>
      <c r="J15" s="344"/>
      <c r="K15" s="344"/>
      <c r="L15" s="344"/>
      <c r="M15" s="344"/>
      <c r="N15" s="344"/>
      <c r="O15" s="344"/>
      <c r="P15" s="344"/>
      <c r="Q15" s="344"/>
      <c r="R15" s="344"/>
      <c r="S15" s="344"/>
      <c r="T15" s="344"/>
      <c r="U15" s="348"/>
      <c r="V15" s="1051">
        <f>año!AA7</f>
        <v>8</v>
      </c>
      <c r="W15" s="1052"/>
      <c r="X15" s="1052"/>
      <c r="Y15" s="1052">
        <f>año!AB7</f>
        <v>9</v>
      </c>
      <c r="Z15" s="1052"/>
      <c r="AA15" s="1052"/>
      <c r="AB15" s="1052">
        <f>año!AC7</f>
        <v>10</v>
      </c>
      <c r="AC15" s="1052"/>
      <c r="AD15" s="1052"/>
      <c r="AE15" s="1052">
        <f>año!AD7</f>
        <v>11</v>
      </c>
      <c r="AF15" s="1052"/>
      <c r="AG15" s="1052"/>
      <c r="AH15" s="1052">
        <f>año!AE7</f>
        <v>12</v>
      </c>
      <c r="AI15" s="1052"/>
      <c r="AJ15" s="1052"/>
      <c r="AK15" s="1052">
        <f>año!AF7</f>
        <v>13</v>
      </c>
      <c r="AL15" s="1052"/>
      <c r="AM15" s="1052"/>
      <c r="AN15" s="1064">
        <f>año!AG7</f>
        <v>14</v>
      </c>
      <c r="AO15" s="1064"/>
      <c r="AP15" s="1065"/>
    </row>
    <row r="16" spans="1:42" ht="9" customHeight="1">
      <c r="B16" s="346"/>
      <c r="C16" s="344"/>
      <c r="D16" s="344"/>
      <c r="E16" s="344"/>
      <c r="F16" s="344"/>
      <c r="G16" s="344"/>
      <c r="H16" s="344"/>
      <c r="I16" s="344"/>
      <c r="J16" s="344"/>
      <c r="K16" s="344"/>
      <c r="L16" s="344"/>
      <c r="M16" s="344"/>
      <c r="N16" s="344"/>
      <c r="O16" s="344"/>
      <c r="P16" s="344"/>
      <c r="Q16" s="344"/>
      <c r="R16" s="344"/>
      <c r="S16" s="344"/>
      <c r="T16" s="344"/>
      <c r="U16" s="348"/>
      <c r="V16" s="1051"/>
      <c r="W16" s="1052"/>
      <c r="X16" s="1052"/>
      <c r="Y16" s="1052"/>
      <c r="Z16" s="1052"/>
      <c r="AA16" s="1052"/>
      <c r="AB16" s="1052"/>
      <c r="AC16" s="1052"/>
      <c r="AD16" s="1052"/>
      <c r="AE16" s="1052"/>
      <c r="AF16" s="1052"/>
      <c r="AG16" s="1052"/>
      <c r="AH16" s="1052"/>
      <c r="AI16" s="1052"/>
      <c r="AJ16" s="1052"/>
      <c r="AK16" s="1052"/>
      <c r="AL16" s="1052"/>
      <c r="AM16" s="1052"/>
      <c r="AN16" s="1064"/>
      <c r="AO16" s="1064"/>
      <c r="AP16" s="1065"/>
    </row>
    <row r="17" spans="2:42" ht="9" customHeight="1">
      <c r="B17" s="346"/>
      <c r="C17" s="344"/>
      <c r="D17" s="344"/>
      <c r="E17" s="344"/>
      <c r="F17" s="344"/>
      <c r="G17" s="344"/>
      <c r="H17" s="344"/>
      <c r="I17" s="344"/>
      <c r="J17" s="344"/>
      <c r="K17" s="344"/>
      <c r="L17" s="344"/>
      <c r="M17" s="344"/>
      <c r="N17" s="344"/>
      <c r="O17" s="344"/>
      <c r="P17" s="344"/>
      <c r="Q17" s="344"/>
      <c r="R17" s="344"/>
      <c r="S17" s="344"/>
      <c r="T17" s="344"/>
      <c r="U17" s="348"/>
      <c r="V17" s="1051"/>
      <c r="W17" s="1052"/>
      <c r="X17" s="1052"/>
      <c r="Y17" s="1052"/>
      <c r="Z17" s="1052"/>
      <c r="AA17" s="1052"/>
      <c r="AB17" s="1052"/>
      <c r="AC17" s="1052"/>
      <c r="AD17" s="1052"/>
      <c r="AE17" s="1052"/>
      <c r="AF17" s="1052"/>
      <c r="AG17" s="1052"/>
      <c r="AH17" s="1052"/>
      <c r="AI17" s="1052"/>
      <c r="AJ17" s="1052"/>
      <c r="AK17" s="1052"/>
      <c r="AL17" s="1052"/>
      <c r="AM17" s="1052"/>
      <c r="AN17" s="1064"/>
      <c r="AO17" s="1064"/>
      <c r="AP17" s="1065"/>
    </row>
    <row r="18" spans="2:42" ht="9" customHeight="1">
      <c r="B18" s="346"/>
      <c r="C18" s="344"/>
      <c r="D18" s="344"/>
      <c r="E18" s="344"/>
      <c r="F18" s="344"/>
      <c r="G18" s="344"/>
      <c r="H18" s="344"/>
      <c r="I18" s="344"/>
      <c r="J18" s="344"/>
      <c r="K18" s="344"/>
      <c r="L18" s="344"/>
      <c r="M18" s="344"/>
      <c r="N18" s="344"/>
      <c r="O18" s="344"/>
      <c r="P18" s="344"/>
      <c r="Q18" s="344"/>
      <c r="R18" s="344"/>
      <c r="S18" s="344"/>
      <c r="T18" s="344"/>
      <c r="U18" s="348"/>
      <c r="V18" s="1049" t="str">
        <f>IF(V15&lt;&gt;" ",VLOOKUP(V15,$F$42:$H$72,2)," ")</f>
        <v>Dionisio</v>
      </c>
      <c r="W18" s="1050"/>
      <c r="X18" s="1050"/>
      <c r="Y18" s="1050" t="str">
        <f>IF(Y15&lt;&gt;" ",VLOOKUP(Y15,$F$42:$H$72,2)," ")</f>
        <v>Marcelo/Casilda</v>
      </c>
      <c r="Z18" s="1050"/>
      <c r="AA18" s="1050"/>
      <c r="AB18" s="1050" t="str">
        <f>IF(AB15&lt;&gt;" ",VLOOKUP(AB15,$F$42:$H$72,2)," ")</f>
        <v>Ezequiel</v>
      </c>
      <c r="AC18" s="1050"/>
      <c r="AD18" s="1050"/>
      <c r="AE18" s="1050" t="str">
        <f>IF(AE15&lt;&gt;" ",VLOOKUP(AE15,$F$42:$H$72,2)," ")</f>
        <v>Estanislao</v>
      </c>
      <c r="AF18" s="1050"/>
      <c r="AG18" s="1050"/>
      <c r="AH18" s="1050" t="str">
        <f>IF(AH15&lt;&gt;" ",VLOOKUP(AH15,$F$42:$H$72,2)," ")</f>
        <v>Dia País Vasco</v>
      </c>
      <c r="AI18" s="1050"/>
      <c r="AJ18" s="1050"/>
      <c r="AK18" s="1050" t="str">
        <f>IF(AK15&lt;&gt;" ",VLOOKUP(AK15,$F$42:$H$72,2)," ")</f>
        <v>Hermenegildo</v>
      </c>
      <c r="AL18" s="1050"/>
      <c r="AM18" s="1050"/>
      <c r="AN18" s="1050" t="str">
        <f>IF(AN15&lt;&gt;" ",VLOOKUP(AN15,$F$42:$H$72,2)," ")</f>
        <v>Liduvina</v>
      </c>
      <c r="AO18" s="1050"/>
      <c r="AP18" s="1066"/>
    </row>
    <row r="19" spans="2:42" ht="9" customHeight="1">
      <c r="B19" s="346"/>
      <c r="C19" s="344"/>
      <c r="D19" s="344"/>
      <c r="E19" s="344"/>
      <c r="F19" s="344"/>
      <c r="G19" s="344"/>
      <c r="H19" s="344"/>
      <c r="I19" s="344"/>
      <c r="J19" s="344"/>
      <c r="K19" s="344"/>
      <c r="L19" s="344"/>
      <c r="M19" s="344"/>
      <c r="N19" s="344"/>
      <c r="O19" s="344"/>
      <c r="P19" s="344"/>
      <c r="Q19" s="344"/>
      <c r="R19" s="344"/>
      <c r="S19" s="344"/>
      <c r="T19" s="344"/>
      <c r="U19" s="348"/>
      <c r="V19" s="1051">
        <f>año!AA8</f>
        <v>15</v>
      </c>
      <c r="W19" s="1052"/>
      <c r="X19" s="1052"/>
      <c r="Y19" s="1052">
        <f>año!AB8</f>
        <v>16</v>
      </c>
      <c r="Z19" s="1052"/>
      <c r="AA19" s="1052"/>
      <c r="AB19" s="1052">
        <f>año!AC8</f>
        <v>17</v>
      </c>
      <c r="AC19" s="1052"/>
      <c r="AD19" s="1052"/>
      <c r="AE19" s="1052">
        <f>año!AD8</f>
        <v>18</v>
      </c>
      <c r="AF19" s="1052"/>
      <c r="AG19" s="1052"/>
      <c r="AH19" s="1052">
        <f>año!AE8</f>
        <v>19</v>
      </c>
      <c r="AI19" s="1052"/>
      <c r="AJ19" s="1052"/>
      <c r="AK19" s="1052">
        <f>año!AF8</f>
        <v>20</v>
      </c>
      <c r="AL19" s="1052"/>
      <c r="AM19" s="1052"/>
      <c r="AN19" s="1064">
        <f>año!AG8</f>
        <v>21</v>
      </c>
      <c r="AO19" s="1064"/>
      <c r="AP19" s="1065"/>
    </row>
    <row r="20" spans="2:42" ht="9" customHeight="1">
      <c r="B20" s="346"/>
      <c r="C20" s="344"/>
      <c r="D20" s="344"/>
      <c r="E20" s="344"/>
      <c r="F20" s="344"/>
      <c r="G20" s="344"/>
      <c r="H20" s="344"/>
      <c r="I20" s="344"/>
      <c r="J20" s="344"/>
      <c r="K20" s="344"/>
      <c r="L20" s="344"/>
      <c r="M20" s="344"/>
      <c r="N20" s="344"/>
      <c r="O20" s="344"/>
      <c r="P20" s="344"/>
      <c r="Q20" s="344"/>
      <c r="R20" s="344"/>
      <c r="S20" s="344"/>
      <c r="T20" s="344"/>
      <c r="U20" s="348"/>
      <c r="V20" s="1051"/>
      <c r="W20" s="1052"/>
      <c r="X20" s="1052"/>
      <c r="Y20" s="1052"/>
      <c r="Z20" s="1052"/>
      <c r="AA20" s="1052"/>
      <c r="AB20" s="1052"/>
      <c r="AC20" s="1052"/>
      <c r="AD20" s="1052"/>
      <c r="AE20" s="1052"/>
      <c r="AF20" s="1052"/>
      <c r="AG20" s="1052"/>
      <c r="AH20" s="1052"/>
      <c r="AI20" s="1052"/>
      <c r="AJ20" s="1052"/>
      <c r="AK20" s="1052"/>
      <c r="AL20" s="1052"/>
      <c r="AM20" s="1052"/>
      <c r="AN20" s="1064"/>
      <c r="AO20" s="1064"/>
      <c r="AP20" s="1065"/>
    </row>
    <row r="21" spans="2:42" ht="9" customHeight="1">
      <c r="B21" s="346"/>
      <c r="C21" s="344"/>
      <c r="D21" s="344"/>
      <c r="E21" s="344"/>
      <c r="F21" s="344"/>
      <c r="G21" s="344"/>
      <c r="H21" s="344"/>
      <c r="I21" s="344"/>
      <c r="J21" s="344"/>
      <c r="K21" s="344"/>
      <c r="L21" s="344"/>
      <c r="M21" s="344"/>
      <c r="N21" s="344"/>
      <c r="O21" s="344"/>
      <c r="P21" s="344"/>
      <c r="Q21" s="344"/>
      <c r="R21" s="344"/>
      <c r="S21" s="344"/>
      <c r="T21" s="344"/>
      <c r="U21" s="348"/>
      <c r="V21" s="1051"/>
      <c r="W21" s="1052"/>
      <c r="X21" s="1052"/>
      <c r="Y21" s="1052"/>
      <c r="Z21" s="1052"/>
      <c r="AA21" s="1052"/>
      <c r="AB21" s="1052"/>
      <c r="AC21" s="1052"/>
      <c r="AD21" s="1052"/>
      <c r="AE21" s="1052"/>
      <c r="AF21" s="1052"/>
      <c r="AG21" s="1052"/>
      <c r="AH21" s="1052"/>
      <c r="AI21" s="1052"/>
      <c r="AJ21" s="1052"/>
      <c r="AK21" s="1052"/>
      <c r="AL21" s="1052"/>
      <c r="AM21" s="1052"/>
      <c r="AN21" s="1064"/>
      <c r="AO21" s="1064"/>
      <c r="AP21" s="1065"/>
    </row>
    <row r="22" spans="2:42" ht="9" customHeight="1">
      <c r="B22" s="346"/>
      <c r="C22" s="344"/>
      <c r="D22" s="344"/>
      <c r="E22" s="344"/>
      <c r="F22" s="344"/>
      <c r="G22" s="344"/>
      <c r="H22" s="344"/>
      <c r="I22" s="344"/>
      <c r="J22" s="344"/>
      <c r="K22" s="344"/>
      <c r="L22" s="344"/>
      <c r="M22" s="344"/>
      <c r="N22" s="344"/>
      <c r="O22" s="344"/>
      <c r="P22" s="344"/>
      <c r="Q22" s="344"/>
      <c r="R22" s="344"/>
      <c r="S22" s="344"/>
      <c r="T22" s="344"/>
      <c r="U22" s="348"/>
      <c r="V22" s="1049" t="str">
        <f>IF(V19&lt;&gt;" ",VLOOKUP(V19,$F$42:$H$72,2)," ")</f>
        <v>Anastasia</v>
      </c>
      <c r="W22" s="1050"/>
      <c r="X22" s="1050"/>
      <c r="Y22" s="1050" t="str">
        <f>IF(Y19&lt;&gt;" ",VLOOKUP(Y19,$F$42:$H$72,2)," ")</f>
        <v>Toribio</v>
      </c>
      <c r="Z22" s="1050"/>
      <c r="AA22" s="1050"/>
      <c r="AB22" s="1050" t="str">
        <f>IF(AB19&lt;&gt;" ",VLOOKUP(AB19,$F$42:$H$72,2)," ")</f>
        <v>Roberto</v>
      </c>
      <c r="AC22" s="1050"/>
      <c r="AD22" s="1050"/>
      <c r="AE22" s="1050" t="str">
        <f>IF(AE19&lt;&gt;" ",VLOOKUP(AE19,$F$42:$H$72,2)," ")</f>
        <v>Perfecto</v>
      </c>
      <c r="AF22" s="1050"/>
      <c r="AG22" s="1050"/>
      <c r="AH22" s="1050" t="str">
        <f>IF(AH19&lt;&gt;" ",VLOOKUP(AH19,$F$42:$H$72,2)," ")</f>
        <v>León</v>
      </c>
      <c r="AI22" s="1050"/>
      <c r="AJ22" s="1050"/>
      <c r="AK22" s="1050" t="str">
        <f>IF(AK19&lt;&gt;" ",VLOOKUP(AK19,$F$42:$H$72,2)," ")</f>
        <v>Teodor</v>
      </c>
      <c r="AL22" s="1050"/>
      <c r="AM22" s="1050"/>
      <c r="AN22" s="1050" t="str">
        <f>IF(AN19&lt;&gt;" ",VLOOKUP(AN19,$F$42:$H$72,2)," ")</f>
        <v>Anselmo</v>
      </c>
      <c r="AO22" s="1050"/>
      <c r="AP22" s="1066"/>
    </row>
    <row r="23" spans="2:42" ht="9" customHeight="1">
      <c r="B23" s="346"/>
      <c r="C23" s="344"/>
      <c r="D23" s="344"/>
      <c r="E23" s="344"/>
      <c r="F23" s="344"/>
      <c r="G23" s="344"/>
      <c r="H23" s="344"/>
      <c r="I23" s="344"/>
      <c r="J23" s="344"/>
      <c r="K23" s="344"/>
      <c r="L23" s="344"/>
      <c r="M23" s="344"/>
      <c r="N23" s="344"/>
      <c r="O23" s="344"/>
      <c r="P23" s="344"/>
      <c r="Q23" s="344"/>
      <c r="R23" s="344"/>
      <c r="S23" s="344"/>
      <c r="T23" s="344"/>
      <c r="U23" s="348"/>
      <c r="V23" s="1051">
        <f>año!AA9</f>
        <v>22</v>
      </c>
      <c r="W23" s="1052"/>
      <c r="X23" s="1052"/>
      <c r="Y23" s="1052">
        <f>año!AB9</f>
        <v>23</v>
      </c>
      <c r="Z23" s="1052"/>
      <c r="AA23" s="1052"/>
      <c r="AB23" s="1052">
        <f>año!AC9</f>
        <v>24</v>
      </c>
      <c r="AC23" s="1052"/>
      <c r="AD23" s="1052"/>
      <c r="AE23" s="1052">
        <f>año!AD9</f>
        <v>25</v>
      </c>
      <c r="AF23" s="1052"/>
      <c r="AG23" s="1052"/>
      <c r="AH23" s="1052">
        <f>año!AE9</f>
        <v>26</v>
      </c>
      <c r="AI23" s="1052"/>
      <c r="AJ23" s="1052"/>
      <c r="AK23" s="1052">
        <f>año!AF9</f>
        <v>27</v>
      </c>
      <c r="AL23" s="1052"/>
      <c r="AM23" s="1052"/>
      <c r="AN23" s="1064">
        <f>año!AG9</f>
        <v>28</v>
      </c>
      <c r="AO23" s="1064"/>
      <c r="AP23" s="1065"/>
    </row>
    <row r="24" spans="2:42" ht="9" customHeight="1">
      <c r="B24" s="346"/>
      <c r="C24" s="344"/>
      <c r="D24" s="344"/>
      <c r="E24" s="344"/>
      <c r="F24" s="344"/>
      <c r="G24" s="344"/>
      <c r="H24" s="344"/>
      <c r="I24" s="344"/>
      <c r="J24" s="344"/>
      <c r="K24" s="344"/>
      <c r="L24" s="344"/>
      <c r="M24" s="344"/>
      <c r="N24" s="344"/>
      <c r="O24" s="344"/>
      <c r="P24" s="344"/>
      <c r="Q24" s="344"/>
      <c r="R24" s="344"/>
      <c r="S24" s="344"/>
      <c r="T24" s="344"/>
      <c r="U24" s="348"/>
      <c r="V24" s="1051"/>
      <c r="W24" s="1052"/>
      <c r="X24" s="1052"/>
      <c r="Y24" s="1052"/>
      <c r="Z24" s="1052"/>
      <c r="AA24" s="1052"/>
      <c r="AB24" s="1052"/>
      <c r="AC24" s="1052"/>
      <c r="AD24" s="1052"/>
      <c r="AE24" s="1052"/>
      <c r="AF24" s="1052"/>
      <c r="AG24" s="1052"/>
      <c r="AH24" s="1052"/>
      <c r="AI24" s="1052"/>
      <c r="AJ24" s="1052"/>
      <c r="AK24" s="1052"/>
      <c r="AL24" s="1052"/>
      <c r="AM24" s="1052"/>
      <c r="AN24" s="1064"/>
      <c r="AO24" s="1064"/>
      <c r="AP24" s="1065"/>
    </row>
    <row r="25" spans="2:42" ht="9" customHeight="1">
      <c r="B25" s="346"/>
      <c r="C25" s="344"/>
      <c r="D25" s="344"/>
      <c r="E25" s="344"/>
      <c r="F25" s="344"/>
      <c r="G25" s="344"/>
      <c r="H25" s="344"/>
      <c r="I25" s="344"/>
      <c r="J25" s="344"/>
      <c r="K25" s="344"/>
      <c r="L25" s="344"/>
      <c r="M25" s="344"/>
      <c r="N25" s="344"/>
      <c r="O25" s="344"/>
      <c r="P25" s="344"/>
      <c r="Q25" s="344"/>
      <c r="R25" s="344"/>
      <c r="S25" s="344"/>
      <c r="T25" s="344"/>
      <c r="U25" s="348"/>
      <c r="V25" s="1051"/>
      <c r="W25" s="1052"/>
      <c r="X25" s="1052"/>
      <c r="Y25" s="1052"/>
      <c r="Z25" s="1052"/>
      <c r="AA25" s="1052"/>
      <c r="AB25" s="1052"/>
      <c r="AC25" s="1052"/>
      <c r="AD25" s="1052"/>
      <c r="AE25" s="1052"/>
      <c r="AF25" s="1052"/>
      <c r="AG25" s="1052"/>
      <c r="AH25" s="1052"/>
      <c r="AI25" s="1052"/>
      <c r="AJ25" s="1052"/>
      <c r="AK25" s="1052"/>
      <c r="AL25" s="1052"/>
      <c r="AM25" s="1052"/>
      <c r="AN25" s="1064"/>
      <c r="AO25" s="1064"/>
      <c r="AP25" s="1065"/>
    </row>
    <row r="26" spans="2:42" ht="9" customHeight="1">
      <c r="B26" s="346"/>
      <c r="C26" s="344"/>
      <c r="D26" s="344"/>
      <c r="E26" s="344"/>
      <c r="F26" s="344"/>
      <c r="G26" s="344"/>
      <c r="H26" s="344"/>
      <c r="I26" s="344"/>
      <c r="J26" s="344"/>
      <c r="K26" s="344"/>
      <c r="L26" s="344"/>
      <c r="M26" s="344"/>
      <c r="N26" s="344"/>
      <c r="O26" s="344"/>
      <c r="P26" s="344"/>
      <c r="Q26" s="344"/>
      <c r="R26" s="344"/>
      <c r="S26" s="344"/>
      <c r="T26" s="344"/>
      <c r="U26" s="348"/>
      <c r="V26" s="1049" t="str">
        <f>IF(V23&lt;&gt;" ",VLOOKUP(V23,$F$42:$H$72,2)," ")</f>
        <v>Agapito/Sotero</v>
      </c>
      <c r="W26" s="1050"/>
      <c r="X26" s="1050"/>
      <c r="Y26" s="1050" t="str">
        <f>IF(Y23&lt;&gt;" ",VLOOKUP(Y23,$F$42:$H$72,2)," ")</f>
        <v>Jorge-Arag-Cast-León</v>
      </c>
      <c r="Z26" s="1050"/>
      <c r="AA26" s="1050"/>
      <c r="AB26" s="1050" t="str">
        <f>IF(AB23&lt;&gt;" ",VLOOKUP(AB23,$F$42:$H$72,2)," ")</f>
        <v>Fidel</v>
      </c>
      <c r="AC26" s="1050"/>
      <c r="AD26" s="1050"/>
      <c r="AE26" s="1050" t="str">
        <f>IF(AE23&lt;&gt;" ",VLOOKUP(AE23,$F$42:$H$72,2)," ")</f>
        <v>Marcos</v>
      </c>
      <c r="AF26" s="1050"/>
      <c r="AG26" s="1050"/>
      <c r="AH26" s="1050" t="str">
        <f>IF(AH23&lt;&gt;" ",VLOOKUP(AH23,$F$42:$H$72,2)," ")</f>
        <v>Isidoro</v>
      </c>
      <c r="AI26" s="1050"/>
      <c r="AJ26" s="1050"/>
      <c r="AK26" s="1050" t="str">
        <f>IF(AK23&lt;&gt;" ",VLOOKUP(AK23,$F$42:$H$72,2)," ")</f>
        <v>N.S.Montserrat</v>
      </c>
      <c r="AL26" s="1050"/>
      <c r="AM26" s="1050"/>
      <c r="AN26" s="1050" t="str">
        <f>IF(AN23&lt;&gt;" ",VLOOKUP(AN23,$F$42:$H$72,2)," ")</f>
        <v>Pere Chanel</v>
      </c>
      <c r="AO26" s="1050"/>
      <c r="AP26" s="1066"/>
    </row>
    <row r="27" spans="2:42" ht="9" customHeight="1">
      <c r="B27" s="346"/>
      <c r="C27" s="344"/>
      <c r="D27" s="344"/>
      <c r="E27" s="344"/>
      <c r="F27" s="344"/>
      <c r="G27" s="344"/>
      <c r="H27" s="344"/>
      <c r="I27" s="344"/>
      <c r="J27" s="344"/>
      <c r="K27" s="344"/>
      <c r="L27" s="344"/>
      <c r="M27" s="344"/>
      <c r="N27" s="344"/>
      <c r="O27" s="344"/>
      <c r="P27" s="344"/>
      <c r="Q27" s="344"/>
      <c r="R27" s="344"/>
      <c r="S27" s="344"/>
      <c r="T27" s="344"/>
      <c r="U27" s="348"/>
      <c r="V27" s="1051">
        <f>año!AA10</f>
        <v>29</v>
      </c>
      <c r="W27" s="1052"/>
      <c r="X27" s="1052"/>
      <c r="Y27" s="1052">
        <f>año!AB10</f>
        <v>30</v>
      </c>
      <c r="Z27" s="1052"/>
      <c r="AA27" s="1052"/>
      <c r="AB27" s="1052" t="str">
        <f>año!AC10</f>
        <v xml:space="preserve"> </v>
      </c>
      <c r="AC27" s="1052"/>
      <c r="AD27" s="1052"/>
      <c r="AE27" s="1052" t="str">
        <f>año!AD10</f>
        <v xml:space="preserve"> </v>
      </c>
      <c r="AF27" s="1052"/>
      <c r="AG27" s="1052"/>
      <c r="AH27" s="1052" t="str">
        <f>año!AE10</f>
        <v xml:space="preserve"> </v>
      </c>
      <c r="AI27" s="1052"/>
      <c r="AJ27" s="1052"/>
      <c r="AK27" s="1052" t="str">
        <f>año!AF10</f>
        <v xml:space="preserve"> </v>
      </c>
      <c r="AL27" s="1052"/>
      <c r="AM27" s="1052"/>
      <c r="AN27" s="1064" t="str">
        <f>año!AG10</f>
        <v xml:space="preserve"> </v>
      </c>
      <c r="AO27" s="1064"/>
      <c r="AP27" s="1065"/>
    </row>
    <row r="28" spans="2:42" ht="9" customHeight="1">
      <c r="B28" s="346"/>
      <c r="C28" s="344"/>
      <c r="D28" s="344"/>
      <c r="E28" s="344"/>
      <c r="F28" s="344"/>
      <c r="G28" s="344"/>
      <c r="H28" s="344"/>
      <c r="I28" s="344"/>
      <c r="J28" s="344"/>
      <c r="K28" s="344"/>
      <c r="L28" s="344"/>
      <c r="M28" s="344"/>
      <c r="N28" s="344"/>
      <c r="O28" s="344"/>
      <c r="P28" s="344"/>
      <c r="Q28" s="344"/>
      <c r="R28" s="344"/>
      <c r="S28" s="344"/>
      <c r="T28" s="344"/>
      <c r="U28" s="348"/>
      <c r="V28" s="1051"/>
      <c r="W28" s="1052"/>
      <c r="X28" s="1052"/>
      <c r="Y28" s="1052"/>
      <c r="Z28" s="1052"/>
      <c r="AA28" s="1052"/>
      <c r="AB28" s="1052"/>
      <c r="AC28" s="1052"/>
      <c r="AD28" s="1052"/>
      <c r="AE28" s="1052"/>
      <c r="AF28" s="1052"/>
      <c r="AG28" s="1052"/>
      <c r="AH28" s="1052"/>
      <c r="AI28" s="1052"/>
      <c r="AJ28" s="1052"/>
      <c r="AK28" s="1052"/>
      <c r="AL28" s="1052"/>
      <c r="AM28" s="1052"/>
      <c r="AN28" s="1064"/>
      <c r="AO28" s="1064"/>
      <c r="AP28" s="1065"/>
    </row>
    <row r="29" spans="2:42" ht="9" customHeight="1">
      <c r="B29" s="346"/>
      <c r="C29" s="344"/>
      <c r="D29" s="344"/>
      <c r="E29" s="344"/>
      <c r="F29" s="344"/>
      <c r="G29" s="344"/>
      <c r="H29" s="344"/>
      <c r="I29" s="344"/>
      <c r="J29" s="344"/>
      <c r="K29" s="344"/>
      <c r="L29" s="344"/>
      <c r="M29" s="344"/>
      <c r="N29" s="344"/>
      <c r="O29" s="344"/>
      <c r="P29" s="344"/>
      <c r="Q29" s="344"/>
      <c r="R29" s="344"/>
      <c r="S29" s="344"/>
      <c r="T29" s="344"/>
      <c r="U29" s="348"/>
      <c r="V29" s="1051"/>
      <c r="W29" s="1052"/>
      <c r="X29" s="1052"/>
      <c r="Y29" s="1052"/>
      <c r="Z29" s="1052"/>
      <c r="AA29" s="1052"/>
      <c r="AB29" s="1052"/>
      <c r="AC29" s="1052"/>
      <c r="AD29" s="1052"/>
      <c r="AE29" s="1052"/>
      <c r="AF29" s="1052"/>
      <c r="AG29" s="1052"/>
      <c r="AH29" s="1052"/>
      <c r="AI29" s="1052"/>
      <c r="AJ29" s="1052"/>
      <c r="AK29" s="1052"/>
      <c r="AL29" s="1052"/>
      <c r="AM29" s="1052"/>
      <c r="AN29" s="1064"/>
      <c r="AO29" s="1064"/>
      <c r="AP29" s="1065"/>
    </row>
    <row r="30" spans="2:42" ht="9" customHeight="1">
      <c r="B30" s="177"/>
      <c r="C30" s="38"/>
      <c r="D30" s="38"/>
      <c r="E30" s="38"/>
      <c r="F30" s="38"/>
      <c r="G30" s="38"/>
      <c r="H30" s="38"/>
      <c r="I30" s="38"/>
      <c r="J30" s="38"/>
      <c r="K30" s="38"/>
      <c r="L30" s="38"/>
      <c r="M30" s="38"/>
      <c r="N30" s="38"/>
      <c r="O30" s="38"/>
      <c r="P30" s="38"/>
      <c r="Q30" s="38"/>
      <c r="R30" s="38"/>
      <c r="S30" s="38"/>
      <c r="T30" s="38"/>
      <c r="U30" s="178"/>
      <c r="V30" s="1049" t="str">
        <f>IF(V27&lt;&gt;" ",VLOOKUP(V27,$F$42:$H$72,2)," ")</f>
        <v>Catalina Siena</v>
      </c>
      <c r="W30" s="1050"/>
      <c r="X30" s="1050"/>
      <c r="Y30" s="1050" t="str">
        <f>IF(Y27&lt;&gt;" ",VLOOKUP(Y27,$F$42:$H$72,2)," ")</f>
        <v>Pío V</v>
      </c>
      <c r="Z30" s="1050"/>
      <c r="AA30" s="1050"/>
      <c r="AB30" s="1050" t="str">
        <f>IF(AB27&lt;&gt;" ",VLOOKUP(AB27,$F$42:$H$72,2)," ")</f>
        <v xml:space="preserve"> </v>
      </c>
      <c r="AC30" s="1050"/>
      <c r="AD30" s="1050"/>
      <c r="AE30" s="1050" t="str">
        <f>IF(AE27&lt;&gt;" ",VLOOKUP(AE27,$F$42:$H$72,2)," ")</f>
        <v xml:space="preserve"> </v>
      </c>
      <c r="AF30" s="1050"/>
      <c r="AG30" s="1050"/>
      <c r="AH30" s="1050" t="str">
        <f>IF(AH27&lt;&gt;" ",VLOOKUP(AH27,$F$42:$H$72,2)," ")</f>
        <v xml:space="preserve"> </v>
      </c>
      <c r="AI30" s="1050"/>
      <c r="AJ30" s="1050"/>
      <c r="AK30" s="1050" t="str">
        <f>IF(AK27&lt;&gt;" ",VLOOKUP(AK27,$F$42:$H$72,2)," ")</f>
        <v xml:space="preserve"> </v>
      </c>
      <c r="AL30" s="1050"/>
      <c r="AM30" s="1050"/>
      <c r="AN30" s="1050" t="str">
        <f>IF(AN27&lt;&gt;" ",VLOOKUP(AN27,$F$42:$H$72,2)," ")</f>
        <v xml:space="preserve"> </v>
      </c>
      <c r="AO30" s="1050"/>
      <c r="AP30" s="1066"/>
    </row>
    <row r="31" spans="2:42" ht="10.5" customHeight="1">
      <c r="B31" s="1100" t="s">
        <v>995</v>
      </c>
      <c r="C31" s="782"/>
      <c r="D31" s="782"/>
      <c r="E31" s="782"/>
      <c r="F31" s="782"/>
      <c r="G31" s="782"/>
      <c r="H31" s="782"/>
      <c r="I31" s="782"/>
      <c r="J31" s="782"/>
      <c r="K31" s="782"/>
      <c r="L31" s="782"/>
      <c r="M31" s="782"/>
      <c r="N31" s="782"/>
      <c r="O31" s="782"/>
      <c r="P31" s="782"/>
      <c r="Q31" s="782"/>
      <c r="R31" s="782"/>
      <c r="S31" s="782"/>
      <c r="T31" s="782"/>
      <c r="U31" s="1102"/>
      <c r="V31" s="1162" t="str">
        <f>año!AC11</f>
        <v/>
      </c>
      <c r="W31" s="973"/>
      <c r="X31" s="973"/>
      <c r="Y31" s="973"/>
      <c r="Z31" s="973"/>
      <c r="AA31" s="973"/>
      <c r="AB31" s="1171" t="str">
        <f>MARZO!$AP$8</f>
        <v/>
      </c>
      <c r="AC31" s="1171"/>
      <c r="AD31" s="1171"/>
      <c r="AE31" s="189"/>
      <c r="AF31" s="194"/>
      <c r="AG31" s="192"/>
      <c r="AH31" s="194"/>
      <c r="AI31" s="194"/>
      <c r="AJ31" s="192"/>
      <c r="AK31" s="194"/>
      <c r="AL31" s="194"/>
      <c r="AM31" s="192"/>
      <c r="AN31" s="193"/>
      <c r="AO31" s="194"/>
      <c r="AP31" s="192"/>
    </row>
    <row r="32" spans="2:42" ht="10.5" customHeight="1">
      <c r="B32" s="1100"/>
      <c r="C32" s="782"/>
      <c r="D32" s="782"/>
      <c r="E32" s="782"/>
      <c r="F32" s="782"/>
      <c r="G32" s="782"/>
      <c r="H32" s="782"/>
      <c r="I32" s="782"/>
      <c r="J32" s="782"/>
      <c r="K32" s="782"/>
      <c r="L32" s="782"/>
      <c r="M32" s="782"/>
      <c r="N32" s="782"/>
      <c r="O32" s="782"/>
      <c r="P32" s="782"/>
      <c r="Q32" s="782"/>
      <c r="R32" s="782"/>
      <c r="S32" s="782"/>
      <c r="T32" s="782"/>
      <c r="U32" s="1102"/>
      <c r="V32" s="1163"/>
      <c r="W32" s="973"/>
      <c r="X32" s="973"/>
      <c r="Y32" s="973"/>
      <c r="Z32" s="973"/>
      <c r="AA32" s="973"/>
      <c r="AB32" s="1171"/>
      <c r="AC32" s="1171"/>
      <c r="AD32" s="1171"/>
      <c r="AE32" s="189"/>
      <c r="AF32" s="194"/>
      <c r="AG32" s="381" t="s">
        <v>247</v>
      </c>
      <c r="AH32" s="194"/>
      <c r="AI32" s="194"/>
      <c r="AJ32" s="381" t="s">
        <v>247</v>
      </c>
      <c r="AK32" s="194"/>
      <c r="AL32" s="194"/>
      <c r="AM32" s="381" t="s">
        <v>247</v>
      </c>
      <c r="AN32" s="193"/>
      <c r="AO32" s="194"/>
      <c r="AP32" s="199" t="s">
        <v>247</v>
      </c>
    </row>
    <row r="33" spans="2:42" ht="10.5" customHeight="1">
      <c r="B33" s="1100"/>
      <c r="C33" s="782"/>
      <c r="D33" s="782"/>
      <c r="E33" s="782"/>
      <c r="F33" s="782"/>
      <c r="G33" s="782"/>
      <c r="H33" s="782"/>
      <c r="I33" s="782"/>
      <c r="J33" s="782"/>
      <c r="K33" s="782"/>
      <c r="L33" s="782"/>
      <c r="M33" s="782"/>
      <c r="N33" s="782"/>
      <c r="O33" s="782"/>
      <c r="P33" s="782"/>
      <c r="Q33" s="782"/>
      <c r="R33" s="782"/>
      <c r="S33" s="782"/>
      <c r="T33" s="782"/>
      <c r="U33" s="1102"/>
      <c r="V33" s="1163"/>
      <c r="W33" s="973"/>
      <c r="X33" s="973"/>
      <c r="Y33" s="973"/>
      <c r="Z33" s="973"/>
      <c r="AA33" s="973"/>
      <c r="AB33" s="1171"/>
      <c r="AC33" s="1171"/>
      <c r="AD33" s="1171"/>
      <c r="AE33" s="189"/>
      <c r="AF33" s="1114">
        <f>luna!$O$66</f>
        <v>24</v>
      </c>
      <c r="AG33" s="1115"/>
      <c r="AH33" s="194"/>
      <c r="AI33" s="1120">
        <f>luna!$R$66</f>
        <v>1</v>
      </c>
      <c r="AJ33" s="1115"/>
      <c r="AK33" s="194"/>
      <c r="AL33" s="1120">
        <f>luna!$Q$66</f>
        <v>10</v>
      </c>
      <c r="AM33" s="1115"/>
      <c r="AN33" s="193"/>
      <c r="AO33" s="193"/>
      <c r="AP33" s="380">
        <f>luna!$P$66</f>
        <v>17</v>
      </c>
    </row>
    <row r="34" spans="2:42" ht="9" customHeight="1">
      <c r="B34" s="1103"/>
      <c r="C34" s="1104"/>
      <c r="D34" s="1104"/>
      <c r="E34" s="1104"/>
      <c r="F34" s="1104"/>
      <c r="G34" s="1104"/>
      <c r="H34" s="1104"/>
      <c r="I34" s="1104"/>
      <c r="J34" s="1104"/>
      <c r="K34" s="1104"/>
      <c r="L34" s="1104"/>
      <c r="M34" s="1104"/>
      <c r="N34" s="1104"/>
      <c r="O34" s="1104"/>
      <c r="P34" s="1104"/>
      <c r="Q34" s="1104"/>
      <c r="R34" s="1104"/>
      <c r="S34" s="1104"/>
      <c r="T34" s="1104"/>
      <c r="U34" s="1105"/>
      <c r="V34" s="1049"/>
      <c r="W34" s="1050"/>
      <c r="X34" s="1050"/>
      <c r="Y34" s="1050"/>
      <c r="Z34" s="1050"/>
      <c r="AA34" s="1050"/>
      <c r="AB34" s="1050"/>
      <c r="AC34" s="1050"/>
      <c r="AD34" s="1050"/>
      <c r="AE34" s="1078" t="s">
        <v>597</v>
      </c>
      <c r="AF34" s="1079"/>
      <c r="AG34" s="1080"/>
      <c r="AH34" s="1081" t="s">
        <v>598</v>
      </c>
      <c r="AI34" s="1081"/>
      <c r="AJ34" s="1081"/>
      <c r="AK34" s="1081" t="s">
        <v>599</v>
      </c>
      <c r="AL34" s="1081"/>
      <c r="AM34" s="1081"/>
      <c r="AN34" s="1081" t="s">
        <v>600</v>
      </c>
      <c r="AO34" s="1081"/>
      <c r="AP34" s="1081"/>
    </row>
    <row r="35" spans="2:42" ht="13.8" thickBot="1">
      <c r="B35" s="634">
        <v>19</v>
      </c>
      <c r="C35" s="406" t="s">
        <v>385</v>
      </c>
      <c r="D35" s="406"/>
      <c r="E35" s="634">
        <v>1</v>
      </c>
      <c r="F35" s="406" t="s">
        <v>973</v>
      </c>
      <c r="G35" s="650"/>
      <c r="H35" s="643">
        <f>DAY(AA39-3)</f>
        <v>28</v>
      </c>
      <c r="I35" s="406" t="s">
        <v>386</v>
      </c>
      <c r="J35" s="406"/>
      <c r="K35" s="406"/>
      <c r="L35" s="406"/>
      <c r="M35" s="644">
        <f>IF(AD38="NO",AD39,AD38)</f>
        <v>31</v>
      </c>
      <c r="N35" s="406" t="s">
        <v>388</v>
      </c>
      <c r="O35" s="406"/>
      <c r="P35" s="406"/>
      <c r="Q35" s="406"/>
      <c r="R35" s="1164">
        <f>MARZO!$Y$35</f>
        <v>45382</v>
      </c>
      <c r="S35" s="1165"/>
      <c r="T35" s="645">
        <f>DAY(AA39+8)</f>
        <v>8</v>
      </c>
      <c r="U35" s="406" t="s">
        <v>390</v>
      </c>
      <c r="V35" s="406"/>
      <c r="W35" s="406"/>
      <c r="X35" s="406" t="s">
        <v>381</v>
      </c>
      <c r="Y35" s="1166">
        <f>AA39-3</f>
        <v>45379</v>
      </c>
      <c r="Z35" s="1167"/>
      <c r="AA35" s="653" t="s">
        <v>222</v>
      </c>
      <c r="AB35" s="1168">
        <f>AA39+8</f>
        <v>45390</v>
      </c>
      <c r="AC35" s="1169"/>
      <c r="AD35" s="406" t="s">
        <v>382</v>
      </c>
      <c r="AE35" s="406"/>
      <c r="AF35" s="406"/>
      <c r="AG35" s="406"/>
      <c r="AH35" s="170"/>
      <c r="AI35" s="170"/>
      <c r="AJ35" s="163"/>
      <c r="AK35" s="163"/>
      <c r="AL35" s="163"/>
      <c r="AM35" s="163"/>
      <c r="AN35" s="163"/>
      <c r="AO35" s="163"/>
      <c r="AP35" s="164"/>
    </row>
    <row r="36" spans="2:42" ht="16.2" thickBot="1">
      <c r="B36" s="634">
        <f>DAY(AA39-7)</f>
        <v>24</v>
      </c>
      <c r="C36" s="408" t="s">
        <v>383</v>
      </c>
      <c r="D36" s="408"/>
      <c r="E36" s="408"/>
      <c r="F36" s="408"/>
      <c r="G36" s="408"/>
      <c r="H36" s="646">
        <f>DAY(AA39-2)</f>
        <v>29</v>
      </c>
      <c r="I36" s="408" t="s">
        <v>387</v>
      </c>
      <c r="J36" s="408"/>
      <c r="K36" s="408"/>
      <c r="L36" s="408"/>
      <c r="M36" s="713">
        <f>IF(M35=31,1,M35+1)</f>
        <v>1</v>
      </c>
      <c r="N36" s="408" t="s">
        <v>389</v>
      </c>
      <c r="O36" s="408"/>
      <c r="P36" s="408"/>
      <c r="Q36" s="408"/>
      <c r="R36" s="408"/>
      <c r="S36" s="408"/>
      <c r="T36" s="631">
        <f>año!$U$32</f>
        <v>12</v>
      </c>
      <c r="U36" s="408" t="s">
        <v>485</v>
      </c>
      <c r="V36" s="408"/>
      <c r="W36" s="631">
        <f>año!$F$34</f>
        <v>2</v>
      </c>
      <c r="X36" s="651" t="s">
        <v>73</v>
      </c>
      <c r="Y36" s="165"/>
      <c r="Z36" s="165"/>
      <c r="AA36" s="1089" t="s">
        <v>412</v>
      </c>
      <c r="AB36" s="1090"/>
      <c r="AC36" s="1090"/>
      <c r="AD36" s="1090"/>
      <c r="AE36" s="1090"/>
      <c r="AF36" s="1090"/>
      <c r="AG36" s="1091"/>
      <c r="AH36" s="165"/>
      <c r="AI36" s="1092" t="s">
        <v>411</v>
      </c>
      <c r="AJ36" s="1093"/>
      <c r="AK36" s="1093"/>
      <c r="AL36" s="1093"/>
      <c r="AM36" s="1093"/>
      <c r="AN36" s="1093"/>
      <c r="AO36" s="1094"/>
      <c r="AP36" s="166"/>
    </row>
    <row r="37" spans="2:42" ht="14.4" thickTop="1" thickBot="1">
      <c r="B37" s="1174">
        <f>año!$C$35</f>
        <v>45355</v>
      </c>
      <c r="C37" s="1175"/>
      <c r="D37" s="617" t="s">
        <v>875</v>
      </c>
      <c r="E37" s="617"/>
      <c r="F37" s="617"/>
      <c r="G37" s="617"/>
      <c r="H37" s="647">
        <v>27</v>
      </c>
      <c r="I37" s="617" t="s">
        <v>988</v>
      </c>
      <c r="J37" s="617"/>
      <c r="K37" s="617"/>
      <c r="L37" s="617"/>
      <c r="M37" s="648">
        <f>AO3</f>
        <v>4</v>
      </c>
      <c r="N37" s="649">
        <f>AP3</f>
        <v>5</v>
      </c>
      <c r="O37" s="649">
        <f>AJ4</f>
        <v>6</v>
      </c>
      <c r="P37" s="617" t="s">
        <v>965</v>
      </c>
      <c r="Q37" s="617"/>
      <c r="R37" s="617"/>
      <c r="S37" s="617"/>
      <c r="T37" s="617"/>
      <c r="U37" s="617"/>
      <c r="V37" s="617"/>
      <c r="W37" s="631">
        <f>T40</f>
        <v>19</v>
      </c>
      <c r="X37" s="617" t="s">
        <v>740</v>
      </c>
      <c r="Y37" s="168"/>
      <c r="Z37" s="168"/>
      <c r="AA37" s="168"/>
      <c r="AB37" s="168"/>
      <c r="AC37" s="168"/>
      <c r="AD37" s="168"/>
      <c r="AE37" s="168"/>
      <c r="AF37" s="168"/>
      <c r="AG37" s="168"/>
      <c r="AH37" s="168"/>
      <c r="AI37" s="168"/>
      <c r="AJ37" s="168"/>
      <c r="AK37" s="168"/>
      <c r="AL37" s="168"/>
      <c r="AM37" s="168"/>
      <c r="AN37" s="168"/>
      <c r="AO37" s="168"/>
      <c r="AP37" s="169"/>
    </row>
    <row r="38" spans="2:42" ht="13.8" hidden="1" thickTop="1">
      <c r="B38" s="412"/>
      <c r="C38" s="412"/>
      <c r="D38" s="412"/>
      <c r="E38" s="412"/>
      <c r="F38" s="412">
        <f>MARZO!S38</f>
        <v>0</v>
      </c>
      <c r="G38" s="652">
        <f>MARZO!T38</f>
        <v>45336</v>
      </c>
      <c r="H38" s="412">
        <f>MARZO!U38</f>
        <v>0</v>
      </c>
      <c r="I38" s="412">
        <f>MARZO!V38</f>
        <v>0</v>
      </c>
      <c r="J38" s="412" t="str">
        <f>MARZO!W38</f>
        <v>Cendra</v>
      </c>
      <c r="K38" s="412"/>
      <c r="L38" s="412"/>
      <c r="M38" s="412"/>
      <c r="N38" s="412">
        <f>MARZO!M38</f>
        <v>8</v>
      </c>
      <c r="O38" s="412">
        <f>MARZO!N38</f>
        <v>4</v>
      </c>
      <c r="P38" s="412">
        <f>MARZO!O38</f>
        <v>0</v>
      </c>
      <c r="Q38" s="412" t="str">
        <f>MARZO!P38</f>
        <v>Dijous Sant</v>
      </c>
      <c r="R38" s="412">
        <f>MARZO!Q38</f>
        <v>0</v>
      </c>
      <c r="S38" s="412"/>
      <c r="T38" s="1170">
        <f>año!AJ14</f>
        <v>45431</v>
      </c>
      <c r="U38" s="1170"/>
      <c r="V38" s="412">
        <f>año!AL14</f>
        <v>0</v>
      </c>
      <c r="W38" s="412">
        <f>año!AM14</f>
        <v>0</v>
      </c>
      <c r="X38" s="412"/>
      <c r="AD38">
        <f>FEBRERO!AI38</f>
        <v>31</v>
      </c>
      <c r="AE38" s="175">
        <f>FEBRERO!AJ38</f>
        <v>29</v>
      </c>
      <c r="AF38">
        <f>FEBRERO!AK38</f>
        <v>0</v>
      </c>
      <c r="AG38" t="str">
        <f>FEBRERO!AL38</f>
        <v>Pasqua</v>
      </c>
      <c r="AH38">
        <f>FEBRERO!AM38</f>
        <v>0</v>
      </c>
      <c r="AI38">
        <f>FEBRERO!AN38</f>
        <v>0</v>
      </c>
      <c r="AJ38">
        <f>FEBRERO!AO38</f>
        <v>14</v>
      </c>
      <c r="AM38">
        <f>FEBRERO!$AO$38</f>
        <v>14</v>
      </c>
    </row>
    <row r="39" spans="2:42" hidden="1">
      <c r="B39" s="412" t="str">
        <f>MARZO!B39</f>
        <v>no</v>
      </c>
      <c r="C39" s="412">
        <f>MARZO!C39</f>
        <v>4</v>
      </c>
      <c r="D39" s="412"/>
      <c r="E39" s="412"/>
      <c r="F39" s="412">
        <f>MARZO!S39</f>
        <v>0</v>
      </c>
      <c r="G39" s="412">
        <f>MARZO!T39</f>
        <v>14</v>
      </c>
      <c r="H39" s="412">
        <f>MARZO!U39</f>
        <v>2</v>
      </c>
      <c r="I39" s="412">
        <f>MARZO!V39</f>
        <v>0</v>
      </c>
      <c r="J39" s="412">
        <f>MARZO!W39</f>
        <v>0</v>
      </c>
      <c r="K39" s="412"/>
      <c r="L39" s="412"/>
      <c r="M39" s="412"/>
      <c r="N39" s="412" t="str">
        <f>MARZO!M39</f>
        <v>NO</v>
      </c>
      <c r="O39" s="412">
        <f>MARZO!N39</f>
        <v>0</v>
      </c>
      <c r="P39" s="412">
        <f>MARZO!O39</f>
        <v>0</v>
      </c>
      <c r="Q39" s="412">
        <f>MARZO!P39</f>
        <v>0</v>
      </c>
      <c r="R39" s="412">
        <f>MARZO!Q39</f>
        <v>0</v>
      </c>
      <c r="S39" s="412"/>
      <c r="T39" s="412">
        <f>año!AJ15</f>
        <v>19</v>
      </c>
      <c r="U39" s="412">
        <f>año!AK15</f>
        <v>5</v>
      </c>
      <c r="V39" s="412">
        <f>año!AL15</f>
        <v>0</v>
      </c>
      <c r="W39" s="412">
        <f>año!AM15</f>
        <v>0</v>
      </c>
      <c r="X39" s="412"/>
      <c r="AA39" s="1149">
        <f>MARZO!$AA$39</f>
        <v>45382</v>
      </c>
      <c r="AB39" s="1149"/>
      <c r="AD39" t="str">
        <f>FEBRERO!AI39</f>
        <v>NO</v>
      </c>
      <c r="AE39" t="str">
        <f>FEBRERO!AJ39</f>
        <v/>
      </c>
      <c r="AF39">
        <f>FEBRERO!AK39</f>
        <v>0</v>
      </c>
      <c r="AG39" s="214">
        <f>FEBRERO!AL39</f>
        <v>45382</v>
      </c>
      <c r="AH39">
        <f>FEBRERO!AM39</f>
        <v>0</v>
      </c>
      <c r="AI39">
        <f>FEBRERO!AN39</f>
        <v>0</v>
      </c>
      <c r="AJ39">
        <f>FEBRERO!AO39</f>
        <v>0</v>
      </c>
    </row>
    <row r="40" spans="2:42" hidden="1">
      <c r="B40" s="412">
        <f>MARZO!B40</f>
        <v>3</v>
      </c>
      <c r="C40" s="412">
        <f>MARZO!C40</f>
        <v>0</v>
      </c>
      <c r="D40" s="412"/>
      <c r="E40" s="412"/>
      <c r="F40" s="412">
        <f>MARZO!S40</f>
        <v>0</v>
      </c>
      <c r="G40" s="412">
        <f>MARZO!T40</f>
        <v>14</v>
      </c>
      <c r="H40" s="412">
        <f>MARZO!U40</f>
        <v>0</v>
      </c>
      <c r="I40" s="412">
        <f>MARZO!V40</f>
        <v>0</v>
      </c>
      <c r="J40" s="412">
        <f>MARZO!W40</f>
        <v>0</v>
      </c>
      <c r="K40" s="412"/>
      <c r="L40" s="412"/>
      <c r="M40" s="412"/>
      <c r="N40" s="412">
        <f>MARZO!M40</f>
        <v>8</v>
      </c>
      <c r="O40" s="412">
        <f>MARZO!N40</f>
        <v>0</v>
      </c>
      <c r="P40" s="412">
        <f>MARZO!O40</f>
        <v>0</v>
      </c>
      <c r="Q40" s="412">
        <f>MARZO!P40</f>
        <v>0</v>
      </c>
      <c r="R40" s="412">
        <f>MARZO!Q40</f>
        <v>0</v>
      </c>
      <c r="S40" s="412"/>
      <c r="T40" s="412">
        <f>año!AJ16</f>
        <v>19</v>
      </c>
      <c r="U40" s="412">
        <f>año!AK16</f>
        <v>0</v>
      </c>
      <c r="V40" s="412">
        <f>año!AL16</f>
        <v>0</v>
      </c>
      <c r="W40" s="412">
        <f>año!AM16</f>
        <v>0</v>
      </c>
      <c r="X40" s="412"/>
    </row>
    <row r="41" spans="2:42" hidden="1">
      <c r="B41" s="412"/>
      <c r="C41" s="412"/>
      <c r="D41" s="412"/>
      <c r="E41" s="412"/>
      <c r="F41" s="412">
        <f>MARZO!S41</f>
        <v>0</v>
      </c>
      <c r="G41" s="412" t="str">
        <f>MARZO!T41</f>
        <v>NO</v>
      </c>
      <c r="H41" s="412">
        <f>MARZO!U41</f>
        <v>0</v>
      </c>
      <c r="I41" s="412">
        <f>MARZO!V41</f>
        <v>0</v>
      </c>
      <c r="J41" s="412">
        <f>MARZO!W41</f>
        <v>0</v>
      </c>
      <c r="K41" s="412"/>
      <c r="L41" s="412"/>
      <c r="M41" s="412"/>
      <c r="N41" s="412" t="str">
        <f>MARZO!M41</f>
        <v>NO</v>
      </c>
      <c r="O41" s="412">
        <f>MARZO!N41</f>
        <v>0</v>
      </c>
      <c r="P41" s="412">
        <f>MARZO!O41</f>
        <v>0</v>
      </c>
      <c r="Q41" s="412">
        <f>MARZO!P41</f>
        <v>0</v>
      </c>
      <c r="R41" s="412">
        <f>MARZO!Q41</f>
        <v>0</v>
      </c>
      <c r="S41" s="412"/>
      <c r="T41" s="412" t="str">
        <f>año!AJ17</f>
        <v>NO</v>
      </c>
      <c r="U41" s="412">
        <f>año!AK17</f>
        <v>0</v>
      </c>
      <c r="V41" s="412">
        <f>año!AL17</f>
        <v>0</v>
      </c>
      <c r="W41" s="412">
        <f>año!AM17</f>
        <v>0</v>
      </c>
      <c r="X41" s="412"/>
      <c r="AA41">
        <f>MARZO!Z41</f>
        <v>0</v>
      </c>
      <c r="AB41" t="str">
        <f>MARZO!AA41</f>
        <v>SANT PERE</v>
      </c>
    </row>
    <row r="42" spans="2:42" ht="14.4" hidden="1">
      <c r="B42" s="412"/>
      <c r="C42" s="412"/>
      <c r="D42" s="412"/>
      <c r="E42" s="412"/>
      <c r="F42" s="412">
        <v>1</v>
      </c>
      <c r="G42" s="412" t="s">
        <v>456</v>
      </c>
      <c r="H42" s="412"/>
      <c r="I42" s="412"/>
      <c r="J42" s="412"/>
      <c r="K42" s="412"/>
      <c r="L42" s="412"/>
      <c r="M42" s="412"/>
      <c r="N42" s="412"/>
      <c r="O42" s="412"/>
      <c r="P42" s="412"/>
      <c r="Q42" s="412" t="s">
        <v>736</v>
      </c>
      <c r="R42" s="412"/>
      <c r="S42" s="412"/>
      <c r="T42" s="412"/>
      <c r="U42" s="412"/>
      <c r="V42" s="412"/>
      <c r="W42" s="412"/>
      <c r="X42" s="412"/>
      <c r="Z42" s="1123">
        <f>MARZO!Z42</f>
        <v>45413</v>
      </c>
      <c r="AA42" s="1161"/>
      <c r="AD42">
        <f>MARZO!AC42</f>
        <v>3</v>
      </c>
      <c r="AE42">
        <f>MARZO!AD42</f>
        <v>4</v>
      </c>
      <c r="AF42">
        <f>MARZO!AE42</f>
        <v>0</v>
      </c>
      <c r="AG42">
        <f>MARZO!AF42</f>
        <v>0</v>
      </c>
      <c r="AN42" s="329"/>
    </row>
    <row r="43" spans="2:42" ht="14.4" hidden="1">
      <c r="B43" s="412"/>
      <c r="C43" s="412"/>
      <c r="D43" s="412"/>
      <c r="E43" s="412"/>
      <c r="F43" s="412">
        <v>2</v>
      </c>
      <c r="G43" s="412" t="s">
        <v>625</v>
      </c>
      <c r="H43" s="412"/>
      <c r="I43" s="412"/>
      <c r="J43" s="412"/>
      <c r="K43" s="412"/>
      <c r="L43" s="412"/>
      <c r="M43" s="412"/>
      <c r="N43" s="412"/>
      <c r="O43" s="412"/>
      <c r="P43" s="412"/>
      <c r="Q43" s="412"/>
      <c r="R43" s="412">
        <f>año!$P$32</f>
        <v>19</v>
      </c>
      <c r="S43" s="412"/>
      <c r="T43" s="412"/>
      <c r="U43" s="412"/>
      <c r="V43" s="412"/>
      <c r="W43" s="412"/>
      <c r="X43" s="412"/>
      <c r="AA43" t="str">
        <f>MARZO!Z43</f>
        <v>PRIMER DIA</v>
      </c>
      <c r="AD43">
        <f>MARZO!AC43</f>
        <v>4</v>
      </c>
      <c r="AE43">
        <f>MARZO!AD43</f>
        <v>0</v>
      </c>
      <c r="AF43">
        <f>MARZO!AE43</f>
        <v>4</v>
      </c>
      <c r="AG43">
        <f>MARZO!AF43</f>
        <v>4</v>
      </c>
      <c r="AN43" s="329"/>
    </row>
    <row r="44" spans="2:42" ht="14.4" hidden="1">
      <c r="B44" s="412"/>
      <c r="C44" s="412"/>
      <c r="D44" s="412"/>
      <c r="E44" s="412"/>
      <c r="F44" s="412">
        <v>3</v>
      </c>
      <c r="G44" s="412" t="s">
        <v>948</v>
      </c>
      <c r="H44" s="412"/>
      <c r="I44" s="412"/>
      <c r="J44" s="412"/>
      <c r="K44" s="412"/>
      <c r="L44" s="412"/>
      <c r="M44" s="412"/>
      <c r="N44" s="412"/>
      <c r="O44" s="412"/>
      <c r="P44" s="412"/>
      <c r="Q44" s="412"/>
      <c r="R44" s="412"/>
      <c r="S44" s="412"/>
      <c r="T44" s="412"/>
      <c r="U44" s="412"/>
      <c r="V44" s="412"/>
      <c r="W44" s="412"/>
      <c r="X44" s="412"/>
      <c r="AA44" t="str">
        <f>MARZO!Z44</f>
        <v>SEGON DIA</v>
      </c>
      <c r="AD44">
        <f>MARZO!AC44</f>
        <v>5</v>
      </c>
      <c r="AE44">
        <f>MARZO!AD44</f>
        <v>0</v>
      </c>
      <c r="AF44">
        <f>MARZO!AE44</f>
        <v>5</v>
      </c>
      <c r="AN44" s="329"/>
    </row>
    <row r="45" spans="2:42" ht="14.4" hidden="1">
      <c r="B45" s="412"/>
      <c r="C45" s="412"/>
      <c r="D45" s="412"/>
      <c r="E45" s="412"/>
      <c r="F45" s="412">
        <v>4</v>
      </c>
      <c r="G45" s="412" t="s">
        <v>626</v>
      </c>
      <c r="H45" s="412"/>
      <c r="I45" s="412"/>
      <c r="J45" s="412"/>
      <c r="K45" s="412"/>
      <c r="L45" s="412"/>
      <c r="M45" s="412"/>
      <c r="N45" s="412"/>
      <c r="O45" s="412"/>
      <c r="P45" s="412"/>
      <c r="Q45" s="412">
        <f>año!AI30</f>
        <v>12</v>
      </c>
      <c r="R45" s="1070" t="str">
        <f>año!AJ30</f>
        <v>ASCENSIÓ</v>
      </c>
      <c r="S45" s="1070"/>
      <c r="T45" s="412"/>
      <c r="U45" s="412"/>
      <c r="V45" s="1070" t="str">
        <f>año!AM30</f>
        <v>CORPUS</v>
      </c>
      <c r="W45" s="1070"/>
      <c r="X45" s="412"/>
      <c r="AE45">
        <f>MARZO!AD45</f>
        <v>5</v>
      </c>
      <c r="AN45" s="329"/>
    </row>
    <row r="46" spans="2:42" ht="14.4" hidden="1">
      <c r="B46" s="412"/>
      <c r="C46" s="412"/>
      <c r="D46" s="412"/>
      <c r="E46" s="412"/>
      <c r="F46" s="412">
        <v>5</v>
      </c>
      <c r="G46" s="412" t="s">
        <v>464</v>
      </c>
      <c r="H46" s="412"/>
      <c r="I46" s="412"/>
      <c r="J46" s="412"/>
      <c r="K46" s="412"/>
      <c r="L46" s="412"/>
      <c r="M46" s="412"/>
      <c r="N46" s="412"/>
      <c r="O46" s="412"/>
      <c r="P46" s="412"/>
      <c r="Q46" s="412" t="str">
        <f>año!AI31</f>
        <v>NO</v>
      </c>
      <c r="R46" s="1170">
        <f>año!AJ31</f>
        <v>45424</v>
      </c>
      <c r="S46" s="1070"/>
      <c r="T46" s="412"/>
      <c r="U46" s="412"/>
      <c r="V46" s="412" t="str">
        <f>año!AM31</f>
        <v>NO</v>
      </c>
      <c r="W46" s="412"/>
      <c r="X46" s="412"/>
      <c r="AN46" s="329"/>
    </row>
    <row r="47" spans="2:42" ht="14.4" hidden="1">
      <c r="B47" s="412"/>
      <c r="C47" s="412"/>
      <c r="D47" s="412"/>
      <c r="E47" s="412"/>
      <c r="F47" s="412">
        <v>6</v>
      </c>
      <c r="G47" s="412" t="s">
        <v>949</v>
      </c>
      <c r="H47" s="412"/>
      <c r="I47" s="412"/>
      <c r="J47" s="412"/>
      <c r="K47" s="412"/>
      <c r="L47" s="412"/>
      <c r="M47" s="412"/>
      <c r="N47" s="412"/>
      <c r="O47" s="412"/>
      <c r="P47" s="412"/>
      <c r="Q47" s="412"/>
      <c r="R47" s="412"/>
      <c r="S47" s="412"/>
      <c r="T47" s="412"/>
      <c r="U47" s="412"/>
      <c r="V47" s="412">
        <f>año!AM32</f>
        <v>2</v>
      </c>
      <c r="W47" s="412"/>
      <c r="X47" s="412"/>
      <c r="AN47" s="329"/>
    </row>
    <row r="48" spans="2:42" ht="14.4" hidden="1">
      <c r="B48" s="412"/>
      <c r="C48" s="412"/>
      <c r="D48" s="412"/>
      <c r="E48" s="412"/>
      <c r="F48" s="412">
        <v>7</v>
      </c>
      <c r="G48" s="412" t="s">
        <v>627</v>
      </c>
      <c r="H48" s="412"/>
      <c r="I48" s="412"/>
      <c r="J48" s="412"/>
      <c r="K48" s="412"/>
      <c r="L48" s="412"/>
      <c r="M48" s="412"/>
      <c r="N48" s="412"/>
      <c r="O48" s="412"/>
      <c r="P48" s="412"/>
      <c r="Q48" s="412"/>
      <c r="R48" s="412"/>
      <c r="S48" s="412"/>
      <c r="T48" s="412"/>
      <c r="U48" s="412"/>
      <c r="V48" s="412"/>
      <c r="W48" s="412"/>
      <c r="X48" s="412"/>
      <c r="AN48" s="329"/>
    </row>
    <row r="49" spans="2:40" ht="14.4" hidden="1">
      <c r="B49" s="412"/>
      <c r="C49" s="412"/>
      <c r="D49" s="412"/>
      <c r="E49" s="412"/>
      <c r="F49" s="412">
        <v>8</v>
      </c>
      <c r="G49" s="412" t="s">
        <v>950</v>
      </c>
      <c r="H49" s="412"/>
      <c r="I49" s="412"/>
      <c r="J49" s="412"/>
      <c r="K49" s="412"/>
      <c r="L49" s="412"/>
      <c r="M49" s="412"/>
      <c r="N49" s="412" t="str">
        <f>MARZO!L42</f>
        <v>1erVac</v>
      </c>
      <c r="O49" s="412">
        <f>MARZO!M42</f>
        <v>28</v>
      </c>
      <c r="P49" s="412">
        <f>MARZO!N42</f>
        <v>28</v>
      </c>
      <c r="Q49" s="412">
        <f>MARZO!O42</f>
        <v>1</v>
      </c>
      <c r="R49" s="412" t="str">
        <f>MARZO!P42</f>
        <v>no</v>
      </c>
      <c r="S49" s="412" t="str">
        <f>MARZO!Q42</f>
        <v>no</v>
      </c>
      <c r="T49" s="412" t="str">
        <f>MARZO!R42</f>
        <v>no</v>
      </c>
      <c r="U49" s="412"/>
      <c r="V49" s="412"/>
      <c r="W49" s="412"/>
      <c r="X49" s="412"/>
      <c r="AN49" s="329"/>
    </row>
    <row r="50" spans="2:40" ht="14.4" hidden="1">
      <c r="B50" s="412"/>
      <c r="C50" s="412"/>
      <c r="D50" s="412"/>
      <c r="E50" s="412"/>
      <c r="F50" s="412">
        <v>9</v>
      </c>
      <c r="G50" s="412" t="s">
        <v>951</v>
      </c>
      <c r="H50" s="412"/>
      <c r="I50" s="412"/>
      <c r="J50" s="412"/>
      <c r="K50" s="412"/>
      <c r="L50" s="412"/>
      <c r="M50" s="412"/>
      <c r="N50" s="412" t="str">
        <f>MARZO!L43</f>
        <v>Darrer</v>
      </c>
      <c r="O50" s="412">
        <f>MARZO!M43</f>
        <v>31</v>
      </c>
      <c r="P50" s="412">
        <f>MARZO!N43</f>
        <v>31</v>
      </c>
      <c r="Q50" s="412">
        <f>MARZO!O43</f>
        <v>8</v>
      </c>
      <c r="R50" s="412" t="str">
        <f>MARZO!P43</f>
        <v>no</v>
      </c>
      <c r="S50" s="412" t="str">
        <f>MARZO!Q43</f>
        <v>no</v>
      </c>
      <c r="T50" s="412" t="str">
        <f>MARZO!R43</f>
        <v>no</v>
      </c>
      <c r="U50" s="412"/>
      <c r="V50" s="412"/>
      <c r="W50" s="412"/>
      <c r="X50" s="412"/>
      <c r="AN50" s="329"/>
    </row>
    <row r="51" spans="2:40" ht="14.4" hidden="1">
      <c r="B51" s="412"/>
      <c r="C51" s="412"/>
      <c r="D51" s="412"/>
      <c r="E51" s="412"/>
      <c r="F51" s="412">
        <v>10</v>
      </c>
      <c r="G51" s="412" t="s">
        <v>628</v>
      </c>
      <c r="H51" s="412"/>
      <c r="I51" s="412"/>
      <c r="J51" s="412"/>
      <c r="K51" s="412"/>
      <c r="L51" s="412"/>
      <c r="M51" s="412"/>
      <c r="N51" s="412"/>
      <c r="O51" s="412"/>
      <c r="P51" s="412"/>
      <c r="Q51" s="412"/>
      <c r="R51" s="412"/>
      <c r="S51" s="412"/>
      <c r="T51" s="412"/>
      <c r="U51" s="412"/>
      <c r="V51" s="412"/>
      <c r="W51" s="412"/>
      <c r="X51" s="412"/>
      <c r="AN51" s="329"/>
    </row>
    <row r="52" spans="2:40" ht="14.4" hidden="1">
      <c r="B52" s="412"/>
      <c r="C52" s="412"/>
      <c r="D52" s="412"/>
      <c r="E52" s="412"/>
      <c r="F52" s="412">
        <v>11</v>
      </c>
      <c r="G52" s="412" t="s">
        <v>458</v>
      </c>
      <c r="H52" s="412"/>
      <c r="I52" s="412"/>
      <c r="J52" s="412"/>
      <c r="K52" s="412"/>
      <c r="L52" s="412"/>
      <c r="M52" s="412"/>
      <c r="N52" s="412"/>
      <c r="O52" s="412"/>
      <c r="P52" s="412"/>
      <c r="Q52" s="412"/>
      <c r="R52" s="412"/>
      <c r="S52" s="412"/>
      <c r="T52" s="412"/>
      <c r="U52" s="412"/>
      <c r="V52" s="412"/>
      <c r="W52" s="412"/>
      <c r="X52" s="412"/>
      <c r="AN52" s="329"/>
    </row>
    <row r="53" spans="2:40" ht="14.4" hidden="1">
      <c r="B53" s="412"/>
      <c r="C53" s="412"/>
      <c r="D53" s="412"/>
      <c r="E53" s="412"/>
      <c r="F53" s="412">
        <v>12</v>
      </c>
      <c r="G53" s="412" t="s">
        <v>459</v>
      </c>
      <c r="H53" s="412"/>
      <c r="I53" s="412"/>
      <c r="J53" s="412"/>
      <c r="K53" s="412"/>
      <c r="L53" s="412"/>
      <c r="M53" s="412"/>
      <c r="N53" s="412"/>
      <c r="O53" s="412"/>
      <c r="P53" s="412"/>
      <c r="Q53" s="412"/>
      <c r="R53" s="412"/>
      <c r="S53" s="412"/>
      <c r="T53" s="412"/>
      <c r="U53" s="412"/>
      <c r="V53" s="412"/>
      <c r="W53" s="412"/>
      <c r="X53" s="412"/>
      <c r="AN53" s="329"/>
    </row>
    <row r="54" spans="2:40" ht="14.4" hidden="1">
      <c r="B54" s="412"/>
      <c r="C54" s="412"/>
      <c r="D54" s="412"/>
      <c r="E54" s="412"/>
      <c r="F54" s="412">
        <v>13</v>
      </c>
      <c r="G54" s="412" t="s">
        <v>460</v>
      </c>
      <c r="H54" s="412"/>
      <c r="I54" s="412"/>
      <c r="J54" s="412"/>
      <c r="K54" s="412"/>
      <c r="L54" s="412"/>
      <c r="M54" s="412"/>
      <c r="N54" s="412"/>
      <c r="O54" s="412"/>
      <c r="P54" s="412"/>
      <c r="Q54" s="412"/>
      <c r="R54" s="412"/>
      <c r="S54" s="412"/>
      <c r="T54" s="412"/>
      <c r="U54" s="412"/>
      <c r="V54" s="412"/>
      <c r="W54" s="412"/>
      <c r="X54" s="412"/>
      <c r="AN54" s="329"/>
    </row>
    <row r="55" spans="2:40" ht="14.4" hidden="1">
      <c r="B55" s="412"/>
      <c r="C55" s="412"/>
      <c r="D55" s="412"/>
      <c r="E55" s="412"/>
      <c r="F55" s="412">
        <v>14</v>
      </c>
      <c r="G55" s="412" t="s">
        <v>629</v>
      </c>
      <c r="H55" s="412"/>
      <c r="I55" s="412"/>
      <c r="J55" s="412"/>
      <c r="K55" s="412"/>
      <c r="L55" s="412"/>
      <c r="M55" s="412"/>
      <c r="N55" s="412"/>
      <c r="O55" s="412"/>
      <c r="P55" s="412"/>
      <c r="Q55" s="412"/>
      <c r="R55" s="412"/>
      <c r="S55" s="412"/>
      <c r="T55" s="412"/>
      <c r="U55" s="412"/>
      <c r="V55" s="412"/>
      <c r="W55" s="412"/>
      <c r="X55" s="412"/>
      <c r="AN55" s="329"/>
    </row>
    <row r="56" spans="2:40" ht="14.4" hidden="1">
      <c r="B56" s="412"/>
      <c r="C56" s="412"/>
      <c r="D56" s="412"/>
      <c r="E56" s="412"/>
      <c r="F56" s="412">
        <v>15</v>
      </c>
      <c r="G56" s="412" t="s">
        <v>461</v>
      </c>
      <c r="H56" s="412"/>
      <c r="I56" s="412"/>
      <c r="J56" s="412"/>
      <c r="K56" s="412"/>
      <c r="L56" s="412"/>
      <c r="M56" s="412"/>
      <c r="N56" s="412"/>
      <c r="O56" s="412"/>
      <c r="P56" s="412"/>
      <c r="Q56" s="412"/>
      <c r="R56" s="412"/>
      <c r="S56" s="412"/>
      <c r="T56" s="412"/>
      <c r="U56" s="412"/>
      <c r="V56" s="412"/>
      <c r="W56" s="412"/>
      <c r="X56" s="412"/>
      <c r="AN56" s="329"/>
    </row>
    <row r="57" spans="2:40" ht="14.4" hidden="1">
      <c r="B57" s="412"/>
      <c r="C57" s="412"/>
      <c r="D57" s="412"/>
      <c r="E57" s="412"/>
      <c r="F57" s="412">
        <v>16</v>
      </c>
      <c r="G57" s="412" t="s">
        <v>618</v>
      </c>
      <c r="H57" s="412"/>
      <c r="I57" s="412"/>
      <c r="J57" s="412"/>
      <c r="K57" s="412"/>
      <c r="L57" s="412"/>
      <c r="M57" s="412"/>
      <c r="N57" s="412"/>
      <c r="O57" s="412"/>
      <c r="P57" s="412"/>
      <c r="Q57" s="412"/>
      <c r="R57" s="412"/>
      <c r="S57" s="412"/>
      <c r="T57" s="412"/>
      <c r="U57" s="412"/>
      <c r="V57" s="412"/>
      <c r="W57" s="412"/>
      <c r="X57" s="412"/>
      <c r="AN57" s="329"/>
    </row>
    <row r="58" spans="2:40" ht="14.4" hidden="1">
      <c r="B58" s="412"/>
      <c r="C58" s="412"/>
      <c r="D58" s="412"/>
      <c r="E58" s="412"/>
      <c r="F58" s="412">
        <v>17</v>
      </c>
      <c r="G58" s="412" t="s">
        <v>462</v>
      </c>
      <c r="H58" s="412"/>
      <c r="I58" s="412"/>
      <c r="J58" s="412"/>
      <c r="K58" s="412"/>
      <c r="L58" s="412"/>
      <c r="M58" s="412"/>
      <c r="N58" s="412"/>
      <c r="O58" s="412"/>
      <c r="P58" s="412"/>
      <c r="Q58" s="412"/>
      <c r="R58" s="412"/>
      <c r="S58" s="412"/>
      <c r="T58" s="412"/>
      <c r="U58" s="412"/>
      <c r="V58" s="412"/>
      <c r="W58" s="412"/>
      <c r="X58" s="412"/>
      <c r="AN58" s="329"/>
    </row>
    <row r="59" spans="2:40" ht="14.4" hidden="1">
      <c r="B59" s="412"/>
      <c r="C59" s="412"/>
      <c r="D59" s="412"/>
      <c r="E59" s="412"/>
      <c r="F59" s="412">
        <v>18</v>
      </c>
      <c r="G59" s="412" t="s">
        <v>463</v>
      </c>
      <c r="H59" s="412"/>
      <c r="I59" s="412"/>
      <c r="J59" s="412"/>
      <c r="K59" s="412"/>
      <c r="L59" s="412"/>
      <c r="M59" s="412"/>
      <c r="N59" s="412"/>
      <c r="O59" s="412"/>
      <c r="P59" s="412"/>
      <c r="Q59" s="412"/>
      <c r="R59" s="412"/>
      <c r="S59" s="412"/>
      <c r="T59" s="412"/>
      <c r="U59" s="412"/>
      <c r="V59" s="412"/>
      <c r="W59" s="412"/>
      <c r="X59" s="412"/>
      <c r="AN59" s="329"/>
    </row>
    <row r="60" spans="2:40" ht="14.4" hidden="1">
      <c r="B60" s="412"/>
      <c r="C60" s="412"/>
      <c r="D60" s="412"/>
      <c r="E60" s="412"/>
      <c r="F60" s="412">
        <v>19</v>
      </c>
      <c r="G60" s="412" t="s">
        <v>704</v>
      </c>
      <c r="H60" s="412"/>
      <c r="I60" s="412"/>
      <c r="J60" s="412"/>
      <c r="K60" s="412"/>
      <c r="L60" s="412"/>
      <c r="M60" s="412"/>
      <c r="N60" s="412"/>
      <c r="O60" s="412"/>
      <c r="P60" s="412"/>
      <c r="Q60" s="412"/>
      <c r="R60" s="412"/>
      <c r="S60" s="412"/>
      <c r="T60" s="412"/>
      <c r="U60" s="412"/>
      <c r="V60" s="412"/>
      <c r="W60" s="412"/>
      <c r="X60" s="412"/>
      <c r="AN60" s="329"/>
    </row>
    <row r="61" spans="2:40" ht="14.4" hidden="1">
      <c r="B61" s="412"/>
      <c r="C61" s="412"/>
      <c r="D61" s="412"/>
      <c r="E61" s="412"/>
      <c r="F61" s="412">
        <v>20</v>
      </c>
      <c r="G61" s="412" t="s">
        <v>630</v>
      </c>
      <c r="H61" s="412"/>
      <c r="I61" s="412"/>
      <c r="J61" s="412"/>
      <c r="K61" s="412"/>
      <c r="L61" s="412"/>
      <c r="M61" s="412"/>
      <c r="N61" s="412"/>
      <c r="O61" s="412"/>
      <c r="P61" s="412"/>
      <c r="Q61" s="412"/>
      <c r="R61" s="412"/>
      <c r="S61" s="412"/>
      <c r="T61" s="412"/>
      <c r="U61" s="412"/>
      <c r="V61" s="412"/>
      <c r="W61" s="412"/>
      <c r="X61" s="412"/>
      <c r="AN61" s="329"/>
    </row>
    <row r="62" spans="2:40" ht="14.4" hidden="1">
      <c r="B62" s="412"/>
      <c r="C62" s="412"/>
      <c r="D62" s="412"/>
      <c r="E62" s="412"/>
      <c r="F62" s="412">
        <v>21</v>
      </c>
      <c r="G62" s="412" t="s">
        <v>465</v>
      </c>
      <c r="H62" s="412"/>
      <c r="I62" s="412"/>
      <c r="J62" s="412"/>
      <c r="K62" s="412"/>
      <c r="L62" s="412"/>
      <c r="M62" s="412"/>
      <c r="N62" s="412"/>
      <c r="O62" s="412"/>
      <c r="P62" s="412"/>
      <c r="Q62" s="412"/>
      <c r="R62" s="412"/>
      <c r="S62" s="412"/>
      <c r="T62" s="412"/>
      <c r="U62" s="412"/>
      <c r="V62" s="412"/>
      <c r="W62" s="412"/>
      <c r="X62" s="412"/>
      <c r="AN62" s="329"/>
    </row>
    <row r="63" spans="2:40" ht="14.4" hidden="1">
      <c r="B63" s="412"/>
      <c r="C63" s="412"/>
      <c r="D63" s="412"/>
      <c r="E63" s="412"/>
      <c r="F63" s="412">
        <v>22</v>
      </c>
      <c r="G63" s="412" t="s">
        <v>952</v>
      </c>
      <c r="H63" s="412"/>
      <c r="I63" s="412"/>
      <c r="J63" s="412"/>
      <c r="K63" s="412"/>
      <c r="L63" s="412"/>
      <c r="M63" s="412"/>
      <c r="N63" s="412"/>
      <c r="O63" s="412"/>
      <c r="P63" s="412"/>
      <c r="Q63" s="412"/>
      <c r="R63" s="412"/>
      <c r="S63" s="412"/>
      <c r="T63" s="412"/>
      <c r="U63" s="412"/>
      <c r="V63" s="412"/>
      <c r="W63" s="412"/>
      <c r="X63" s="412"/>
      <c r="AN63" s="329"/>
    </row>
    <row r="64" spans="2:40" ht="14.4" hidden="1">
      <c r="B64" s="412"/>
      <c r="C64" s="412"/>
      <c r="D64" s="412"/>
      <c r="E64" s="412"/>
      <c r="F64" s="412">
        <v>23</v>
      </c>
      <c r="G64" s="412" t="s">
        <v>874</v>
      </c>
      <c r="H64" s="412"/>
      <c r="I64" s="412"/>
      <c r="J64" s="412"/>
      <c r="K64" s="412"/>
      <c r="L64" s="412"/>
      <c r="M64" s="412"/>
      <c r="N64" s="412"/>
      <c r="O64" s="412"/>
      <c r="P64" s="412"/>
      <c r="Q64" s="412"/>
      <c r="R64" s="412"/>
      <c r="S64" s="412"/>
      <c r="T64" s="412"/>
      <c r="U64" s="412"/>
      <c r="V64" s="412"/>
      <c r="W64" s="412"/>
      <c r="X64" s="412"/>
      <c r="AN64" s="329"/>
    </row>
    <row r="65" spans="2:40" ht="14.4" hidden="1">
      <c r="B65" s="412"/>
      <c r="C65" s="412"/>
      <c r="D65" s="412"/>
      <c r="E65" s="412"/>
      <c r="F65" s="412">
        <v>24</v>
      </c>
      <c r="G65" s="412" t="s">
        <v>526</v>
      </c>
      <c r="H65" s="412"/>
      <c r="I65" s="412"/>
      <c r="J65" s="412"/>
      <c r="K65" s="412"/>
      <c r="L65" s="412"/>
      <c r="M65" s="412"/>
      <c r="N65" s="412"/>
      <c r="O65" s="412"/>
      <c r="P65" s="412"/>
      <c r="Q65" s="412"/>
      <c r="R65" s="412"/>
      <c r="S65" s="412"/>
      <c r="T65" s="412"/>
      <c r="U65" s="412"/>
      <c r="V65" s="412"/>
      <c r="W65" s="412"/>
      <c r="X65" s="412"/>
      <c r="AN65" s="329"/>
    </row>
    <row r="66" spans="2:40" ht="14.4" hidden="1">
      <c r="B66" s="412"/>
      <c r="C66" s="412"/>
      <c r="D66" s="412"/>
      <c r="E66" s="412"/>
      <c r="F66" s="412">
        <v>25</v>
      </c>
      <c r="G66" s="412" t="s">
        <v>466</v>
      </c>
      <c r="H66" s="412"/>
      <c r="I66" s="412"/>
      <c r="J66" s="412"/>
      <c r="K66" s="412"/>
      <c r="L66" s="412"/>
      <c r="M66" s="412"/>
      <c r="N66" s="412"/>
      <c r="O66" s="412"/>
      <c r="P66" s="412"/>
      <c r="Q66" s="412"/>
      <c r="R66" s="412"/>
      <c r="S66" s="412"/>
      <c r="T66" s="412"/>
      <c r="U66" s="412"/>
      <c r="V66" s="412"/>
      <c r="W66" s="412"/>
      <c r="X66" s="412"/>
      <c r="AN66" s="329"/>
    </row>
    <row r="67" spans="2:40" ht="14.4" hidden="1">
      <c r="B67" s="412"/>
      <c r="C67" s="412"/>
      <c r="D67" s="412"/>
      <c r="E67" s="412"/>
      <c r="F67" s="412">
        <v>26</v>
      </c>
      <c r="G67" s="412" t="s">
        <v>953</v>
      </c>
      <c r="H67" s="412"/>
      <c r="I67" s="412"/>
      <c r="J67" s="412"/>
      <c r="K67" s="412"/>
      <c r="L67" s="412"/>
      <c r="M67" s="412"/>
      <c r="N67" s="412"/>
      <c r="O67" s="412"/>
      <c r="P67" s="412"/>
      <c r="Q67" s="412"/>
      <c r="R67" s="412"/>
      <c r="S67" s="412"/>
      <c r="T67" s="412"/>
      <c r="U67" s="412"/>
      <c r="V67" s="412"/>
      <c r="W67" s="412"/>
      <c r="X67" s="412"/>
      <c r="AN67" s="329"/>
    </row>
    <row r="68" spans="2:40" ht="14.4" hidden="1">
      <c r="B68" s="412"/>
      <c r="C68" s="412"/>
      <c r="D68" s="412"/>
      <c r="E68" s="412"/>
      <c r="F68" s="412">
        <v>27</v>
      </c>
      <c r="G68" s="412" t="s">
        <v>468</v>
      </c>
      <c r="H68" s="412"/>
      <c r="I68" s="412"/>
      <c r="J68" s="412"/>
      <c r="K68" s="412"/>
      <c r="L68" s="412"/>
      <c r="M68" s="412"/>
      <c r="N68" s="412"/>
      <c r="O68" s="412"/>
      <c r="P68" s="412"/>
      <c r="Q68" s="412"/>
      <c r="R68" s="412"/>
      <c r="S68" s="412"/>
      <c r="T68" s="412"/>
      <c r="U68" s="412"/>
      <c r="V68" s="412"/>
      <c r="W68" s="412"/>
      <c r="X68" s="412"/>
      <c r="AN68" s="329"/>
    </row>
    <row r="69" spans="2:40" ht="14.4" hidden="1">
      <c r="B69" s="412"/>
      <c r="C69" s="412"/>
      <c r="D69" s="412"/>
      <c r="E69" s="412"/>
      <c r="F69" s="412">
        <v>28</v>
      </c>
      <c r="G69" s="412" t="s">
        <v>631</v>
      </c>
      <c r="H69" s="412"/>
      <c r="I69" s="412"/>
      <c r="J69" s="412"/>
      <c r="K69" s="412"/>
      <c r="L69" s="412"/>
      <c r="M69" s="412"/>
      <c r="N69" s="412"/>
      <c r="O69" s="412"/>
      <c r="P69" s="412"/>
      <c r="Q69" s="412"/>
      <c r="R69" s="412"/>
      <c r="S69" s="412"/>
      <c r="T69" s="412"/>
      <c r="U69" s="412"/>
      <c r="V69" s="412"/>
      <c r="W69" s="412"/>
      <c r="X69" s="412"/>
      <c r="AN69" s="329"/>
    </row>
    <row r="70" spans="2:40" ht="14.4" hidden="1">
      <c r="B70" s="412"/>
      <c r="C70" s="412"/>
      <c r="D70" s="412"/>
      <c r="E70" s="412"/>
      <c r="F70" s="412">
        <v>29</v>
      </c>
      <c r="G70" s="412" t="s">
        <v>469</v>
      </c>
      <c r="H70" s="412"/>
      <c r="I70" s="412"/>
      <c r="J70" s="412"/>
      <c r="K70" s="412"/>
      <c r="L70" s="412"/>
      <c r="M70" s="412"/>
      <c r="N70" s="412"/>
      <c r="O70" s="412"/>
      <c r="P70" s="412"/>
      <c r="Q70" s="412"/>
      <c r="R70" s="412"/>
      <c r="S70" s="412"/>
      <c r="T70" s="412"/>
      <c r="U70" s="412"/>
      <c r="V70" s="412"/>
      <c r="W70" s="412"/>
      <c r="X70" s="412"/>
      <c r="AN70" s="329"/>
    </row>
    <row r="71" spans="2:40" ht="14.4" hidden="1">
      <c r="B71" s="412"/>
      <c r="C71" s="412"/>
      <c r="D71" s="412"/>
      <c r="E71" s="412"/>
      <c r="F71" s="412">
        <v>30</v>
      </c>
      <c r="G71" s="412" t="s">
        <v>470</v>
      </c>
      <c r="H71" s="412"/>
      <c r="I71" s="412"/>
      <c r="J71" s="412"/>
      <c r="K71" s="412"/>
      <c r="L71" s="412"/>
      <c r="M71" s="412"/>
      <c r="N71" s="412"/>
      <c r="O71" s="412"/>
      <c r="P71" s="412"/>
      <c r="Q71" s="412"/>
      <c r="R71" s="412"/>
      <c r="S71" s="412"/>
      <c r="T71" s="412"/>
      <c r="U71" s="412"/>
      <c r="V71" s="412"/>
      <c r="W71" s="412"/>
      <c r="X71" s="412"/>
      <c r="AN71" s="329"/>
    </row>
    <row r="72" spans="2:40" ht="13.8" thickTop="1">
      <c r="B72" s="412"/>
      <c r="C72" s="412"/>
      <c r="D72" s="412"/>
      <c r="E72" s="412"/>
      <c r="F72" s="412"/>
      <c r="G72" s="412" t="s">
        <v>471</v>
      </c>
      <c r="H72" s="412"/>
      <c r="I72" s="412"/>
      <c r="J72" s="412"/>
      <c r="K72" s="412"/>
      <c r="L72" s="412"/>
      <c r="M72" s="412"/>
      <c r="N72" s="412"/>
      <c r="O72" s="412"/>
      <c r="P72" s="412"/>
      <c r="Q72" s="412"/>
      <c r="R72" s="412"/>
      <c r="S72" s="412"/>
      <c r="T72" s="412"/>
      <c r="U72" s="412"/>
      <c r="V72" s="412"/>
      <c r="W72" s="412"/>
      <c r="X72" s="412"/>
    </row>
  </sheetData>
  <customSheetViews>
    <customSheetView guid="{93FD35E9-1E2C-4BB9-BB5F-2E73C17EC4AF}" scale="113" showGridLines="0" showRowCol="0" outlineSymbols="0" zeroValues="0" hiddenRows="1">
      <selection activeCell="AG72" sqref="AG72"/>
      <pageMargins left="0.75" right="0.75" top="1" bottom="1" header="0" footer="0"/>
      <pageSetup paperSize="9" orientation="portrait" r:id="rId1"/>
      <headerFooter alignWithMargins="0"/>
    </customSheetView>
  </customSheetViews>
  <mergeCells count="110">
    <mergeCell ref="B2:U4"/>
    <mergeCell ref="B37:C37"/>
    <mergeCell ref="AO1:AP1"/>
    <mergeCell ref="AD2:AH4"/>
    <mergeCell ref="AD5:AH7"/>
    <mergeCell ref="AJ1:AN1"/>
    <mergeCell ref="AN10:AP10"/>
    <mergeCell ref="AE10:AG10"/>
    <mergeCell ref="AH10:AJ10"/>
    <mergeCell ref="AK10:AM10"/>
    <mergeCell ref="AE11:AG13"/>
    <mergeCell ref="AH11:AJ13"/>
    <mergeCell ref="AK11:AM13"/>
    <mergeCell ref="AN11:AP13"/>
    <mergeCell ref="AN19:AP21"/>
    <mergeCell ref="AE23:AG25"/>
    <mergeCell ref="AN23:AP25"/>
    <mergeCell ref="AH23:AJ25"/>
    <mergeCell ref="AE15:AG17"/>
    <mergeCell ref="AH15:AJ17"/>
    <mergeCell ref="AK15:AM17"/>
    <mergeCell ref="AN15:AP17"/>
    <mergeCell ref="V23:X25"/>
    <mergeCell ref="Y23:AA25"/>
    <mergeCell ref="AB23:AD25"/>
    <mergeCell ref="V19:X21"/>
    <mergeCell ref="V26:X26"/>
    <mergeCell ref="AB26:AD26"/>
    <mergeCell ref="V22:X22"/>
    <mergeCell ref="Y22:AA22"/>
    <mergeCell ref="AB22:AD22"/>
    <mergeCell ref="V1:Z1"/>
    <mergeCell ref="AA1:AB1"/>
    <mergeCell ref="V15:X17"/>
    <mergeCell ref="Y15:AA17"/>
    <mergeCell ref="AB15:AD17"/>
    <mergeCell ref="V11:X13"/>
    <mergeCell ref="V10:X10"/>
    <mergeCell ref="Y10:AA10"/>
    <mergeCell ref="AB10:AD10"/>
    <mergeCell ref="Y11:AA13"/>
    <mergeCell ref="AB11:AD13"/>
    <mergeCell ref="X8:AA8"/>
    <mergeCell ref="AH14:AJ14"/>
    <mergeCell ref="AK14:AM14"/>
    <mergeCell ref="AN14:AP14"/>
    <mergeCell ref="AK23:AM25"/>
    <mergeCell ref="AH22:AJ22"/>
    <mergeCell ref="AK27:AM29"/>
    <mergeCell ref="AK26:AM26"/>
    <mergeCell ref="AN26:AP26"/>
    <mergeCell ref="AK22:AM22"/>
    <mergeCell ref="AN22:AP22"/>
    <mergeCell ref="AH18:AJ18"/>
    <mergeCell ref="AK18:AM18"/>
    <mergeCell ref="AK19:AM21"/>
    <mergeCell ref="AE18:AG18"/>
    <mergeCell ref="Y19:AA21"/>
    <mergeCell ref="AB19:AD21"/>
    <mergeCell ref="V14:X14"/>
    <mergeCell ref="Y14:AA14"/>
    <mergeCell ref="AB14:AD14"/>
    <mergeCell ref="AE14:AG14"/>
    <mergeCell ref="V18:X18"/>
    <mergeCell ref="Y18:AA18"/>
    <mergeCell ref="AB18:AD18"/>
    <mergeCell ref="AE22:AG22"/>
    <mergeCell ref="AN27:AP29"/>
    <mergeCell ref="AK30:AM30"/>
    <mergeCell ref="AH27:AJ29"/>
    <mergeCell ref="AH26:AJ26"/>
    <mergeCell ref="AE19:AG21"/>
    <mergeCell ref="AH19:AJ21"/>
    <mergeCell ref="AN18:AP18"/>
    <mergeCell ref="R46:S46"/>
    <mergeCell ref="R45:S45"/>
    <mergeCell ref="V34:X34"/>
    <mergeCell ref="Y34:AA34"/>
    <mergeCell ref="T38:U38"/>
    <mergeCell ref="AN30:AP30"/>
    <mergeCell ref="AE30:AG30"/>
    <mergeCell ref="AB34:AD34"/>
    <mergeCell ref="AL33:AM33"/>
    <mergeCell ref="AH30:AJ30"/>
    <mergeCell ref="AK34:AM34"/>
    <mergeCell ref="AN34:AP34"/>
    <mergeCell ref="AB31:AD33"/>
    <mergeCell ref="AI36:AO36"/>
    <mergeCell ref="AA36:AG36"/>
    <mergeCell ref="V45:W45"/>
    <mergeCell ref="Z42:AA42"/>
    <mergeCell ref="V31:AA33"/>
    <mergeCell ref="R35:S35"/>
    <mergeCell ref="AE26:AG26"/>
    <mergeCell ref="AF33:AG33"/>
    <mergeCell ref="AI33:AJ33"/>
    <mergeCell ref="AE34:AG34"/>
    <mergeCell ref="AH34:AJ34"/>
    <mergeCell ref="AE27:AG29"/>
    <mergeCell ref="AB27:AD29"/>
    <mergeCell ref="Y26:AA26"/>
    <mergeCell ref="V30:X30"/>
    <mergeCell ref="Y30:AA30"/>
    <mergeCell ref="AB30:AD30"/>
    <mergeCell ref="V27:X29"/>
    <mergeCell ref="Y27:AA29"/>
    <mergeCell ref="AA39:AB39"/>
    <mergeCell ref="Y35:Z35"/>
    <mergeCell ref="AB35:AC35"/>
    <mergeCell ref="B31:U34"/>
  </mergeCells>
  <phoneticPr fontId="24" type="noConversion"/>
  <conditionalFormatting sqref="AH11:AJ25">
    <cfRule type="cellIs" dxfId="65" priority="5" stopIfTrue="1" operator="equal">
      <formula>$AE$39</formula>
    </cfRule>
  </conditionalFormatting>
  <conditionalFormatting sqref="AN11:AP25">
    <cfRule type="cellIs" dxfId="64" priority="4" stopIfTrue="1" operator="equal">
      <formula>$AD$39</formula>
    </cfRule>
  </conditionalFormatting>
  <conditionalFormatting sqref="Z6:Z7">
    <cfRule type="cellIs" dxfId="63" priority="13" stopIfTrue="1" operator="equal">
      <formula>$AE$38</formula>
    </cfRule>
  </conditionalFormatting>
  <conditionalFormatting sqref="AB6:AB8">
    <cfRule type="cellIs" dxfId="62" priority="9" stopIfTrue="1" operator="equal">
      <formula>$AD$38</formula>
    </cfRule>
  </conditionalFormatting>
  <conditionalFormatting sqref="AJ4">
    <cfRule type="cellIs" dxfId="61" priority="23" stopIfTrue="1" operator="equal">
      <formula>$N$38</formula>
    </cfRule>
  </conditionalFormatting>
  <conditionalFormatting sqref="AP8">
    <cfRule type="cellIs" dxfId="60" priority="18" stopIfTrue="1" operator="equal">
      <formula>$AD$39</formula>
    </cfRule>
    <cfRule type="cellIs" dxfId="59" priority="19" stopIfTrue="1" operator="equal">
      <formula>$T$39</formula>
    </cfRule>
  </conditionalFormatting>
  <conditionalFormatting sqref="V27:AP29 V31">
    <cfRule type="cellIs" dxfId="58" priority="12" stopIfTrue="1" operator="equal">
      <formula>$AD$43</formula>
    </cfRule>
  </conditionalFormatting>
  <conditionalFormatting sqref="X3:X4">
    <cfRule type="cellIs" dxfId="57" priority="21" stopIfTrue="1" operator="equal">
      <formula>$G$41</formula>
    </cfRule>
  </conditionalFormatting>
  <conditionalFormatting sqref="AJ3:AP3">
    <cfRule type="cellIs" dxfId="56" priority="6" stopIfTrue="1" operator="equal">
      <formula>$AD$43</formula>
    </cfRule>
    <cfRule type="cellIs" dxfId="55" priority="15" stopIfTrue="1" operator="equal">
      <formula>$AD$44</formula>
    </cfRule>
    <cfRule type="cellIs" dxfId="54" priority="22" stopIfTrue="1" operator="equal">
      <formula>1</formula>
    </cfRule>
  </conditionalFormatting>
  <conditionalFormatting sqref="AE27:AG29">
    <cfRule type="cellIs" dxfId="53" priority="17" stopIfTrue="1" operator="equal">
      <formula>$S$36</formula>
    </cfRule>
  </conditionalFormatting>
  <conditionalFormatting sqref="V6:V8 V23 V15 V19 V27">
    <cfRule type="cellIs" dxfId="52" priority="8" stopIfTrue="1" operator="equal">
      <formula>$M$36</formula>
    </cfRule>
  </conditionalFormatting>
  <conditionalFormatting sqref="V8">
    <cfRule type="cellIs" dxfId="51" priority="32" stopIfTrue="1" operator="equal">
      <formula>$N$39</formula>
    </cfRule>
  </conditionalFormatting>
  <conditionalFormatting sqref="V6:AB7 V8:W8">
    <cfRule type="cellIs" dxfId="50" priority="36" stopIfTrue="1" operator="between">
      <formula>$O$49</formula>
      <formula>$O$50</formula>
    </cfRule>
  </conditionalFormatting>
  <conditionalFormatting sqref="V11:AP29 V31">
    <cfRule type="cellIs" dxfId="49" priority="40" stopIfTrue="1" operator="between">
      <formula>$Q$49</formula>
      <formula>$Q$50</formula>
    </cfRule>
  </conditionalFormatting>
  <conditionalFormatting sqref="W11:X30 V11:V31">
    <cfRule type="cellIs" dxfId="48" priority="30" stopIfTrue="1" operator="equal">
      <formula>$N$40</formula>
    </cfRule>
  </conditionalFormatting>
  <conditionalFormatting sqref="AJ3:AP3 AJ4">
    <cfRule type="cellIs" dxfId="47" priority="45" stopIfTrue="1" operator="between">
      <formula>$T$49</formula>
      <formula>$T$50</formula>
    </cfRule>
  </conditionalFormatting>
  <conditionalFormatting sqref="AP3:AP7">
    <cfRule type="cellIs" dxfId="46" priority="24" stopIfTrue="1" operator="equal">
      <formula>$T$39</formula>
    </cfRule>
    <cfRule type="cellIs" dxfId="45" priority="27" stopIfTrue="1" operator="equal">
      <formula>$S$36</formula>
    </cfRule>
    <cfRule type="cellIs" dxfId="44" priority="28" stopIfTrue="1" operator="equal">
      <formula>$W$36</formula>
    </cfRule>
  </conditionalFormatting>
  <conditionalFormatting sqref="AM3:AM7">
    <cfRule type="cellIs" dxfId="43" priority="29" stopIfTrue="1" operator="equal">
      <formula>$Q$45</formula>
    </cfRule>
    <cfRule type="cellIs" dxfId="42" priority="44" stopIfTrue="1" operator="equal">
      <formula>$V$46</formula>
    </cfRule>
  </conditionalFormatting>
  <conditionalFormatting sqref="V3:V8">
    <cfRule type="cellIs" dxfId="41" priority="34" operator="equal">
      <formula>$C$39</formula>
    </cfRule>
  </conditionalFormatting>
  <conditionalFormatting sqref="AE11 AE15 AE19 AE23 AE27">
    <cfRule type="cellIs" dxfId="40" priority="7" operator="equal">
      <formula>$H$35</formula>
    </cfRule>
  </conditionalFormatting>
  <conditionalFormatting sqref="Z5:AB5 V6:Y6">
    <cfRule type="cellIs" dxfId="39" priority="2" operator="equal">
      <formula>19</formula>
    </cfRule>
  </conditionalFormatting>
  <conditionalFormatting sqref="Y6:Y7">
    <cfRule type="cellIs" dxfId="38" priority="3" operator="equal">
      <formula>$H$35</formula>
    </cfRule>
  </conditionalFormatting>
  <conditionalFormatting sqref="V11:X13">
    <cfRule type="expression" dxfId="37" priority="1">
      <formula>$V$11</formula>
    </cfRule>
  </conditionalFormatting>
  <hyperlinks>
    <hyperlink ref="AD5:AH7" location="año!A1" display="año!A1"/>
    <hyperlink ref="V1:Z1" location="MARZO!A1" display="MARZO!A1"/>
    <hyperlink ref="AJ1:AN1" location="MAYO!A1" display="MAYO!A1"/>
    <hyperlink ref="AI36:AO36" location="PORTADA!A1" display="IR A PORTADA"/>
    <hyperlink ref="AA36:AG36" location="año!A1" display="IR A AÑO COMPLETO"/>
  </hyperlinks>
  <pageMargins left="0.25" right="0.25" top="0.75" bottom="0.75" header="0.3" footer="0.3"/>
  <pageSetup paperSize="9" orientation="landscape" r:id="rId2"/>
  <headerFooter alignWithMargins="0"/>
  <drawing r:id="rId3"/>
</worksheet>
</file>

<file path=xl/worksheets/sheet15.xml><?xml version="1.0" encoding="utf-8"?>
<worksheet xmlns="http://schemas.openxmlformats.org/spreadsheetml/2006/main" xmlns:r="http://schemas.openxmlformats.org/officeDocument/2006/relationships">
  <sheetPr codeName="Hoja15"/>
  <dimension ref="A1:AS70"/>
  <sheetViews>
    <sheetView showGridLines="0" showRowColHeaders="0" showZeros="0" showOutlineSymbols="0" zoomScale="125" zoomScaleNormal="125" workbookViewId="0">
      <selection activeCell="AR71" sqref="AR71"/>
    </sheetView>
  </sheetViews>
  <sheetFormatPr baseColWidth="10" defaultColWidth="3.33203125" defaultRowHeight="13.2"/>
  <cols>
    <col min="25" max="25" width="5.21875" bestFit="1" customWidth="1"/>
    <col min="33" max="33" width="4.77734375" bestFit="1" customWidth="1"/>
    <col min="35" max="35" width="5.21875" bestFit="1" customWidth="1"/>
    <col min="39" max="39" width="3.44140625" bestFit="1" customWidth="1"/>
  </cols>
  <sheetData>
    <row r="1" spans="1:42" ht="10.5" customHeight="1" thickBot="1">
      <c r="A1" s="166"/>
      <c r="B1" s="1192" t="s">
        <v>991</v>
      </c>
      <c r="C1" s="1193"/>
      <c r="D1" s="1193"/>
      <c r="E1" s="1193"/>
      <c r="F1" s="1193"/>
      <c r="G1" s="1193"/>
      <c r="H1" s="1193"/>
      <c r="I1" s="1193"/>
      <c r="J1" s="1193"/>
      <c r="K1" s="1193"/>
      <c r="L1" s="1193"/>
      <c r="M1" s="1193"/>
      <c r="N1" s="1193"/>
      <c r="O1" s="1193"/>
      <c r="P1" s="1193"/>
      <c r="Q1" s="1193"/>
      <c r="R1" s="1193"/>
      <c r="S1" s="1193"/>
      <c r="T1" s="1193"/>
      <c r="U1" s="1194"/>
      <c r="V1" s="1179" t="str">
        <f>año!$K$4</f>
        <v>FEBRERO</v>
      </c>
      <c r="W1" s="1180"/>
      <c r="X1" s="1180"/>
      <c r="Y1" s="1180"/>
      <c r="Z1" s="1180"/>
      <c r="AA1" s="1057">
        <f>año!$O$1</f>
        <v>2024</v>
      </c>
      <c r="AB1" s="1058"/>
      <c r="AJ1" s="1055" t="str">
        <f>año!$AA$4</f>
        <v>ABRIL</v>
      </c>
      <c r="AK1" s="1056"/>
      <c r="AL1" s="1056"/>
      <c r="AM1" s="1056"/>
      <c r="AN1" s="1056"/>
      <c r="AO1" s="1098">
        <f>año!$O$1</f>
        <v>2024</v>
      </c>
      <c r="AP1" s="1099"/>
    </row>
    <row r="2" spans="1:42" ht="9" customHeight="1" thickBot="1">
      <c r="A2" s="166"/>
      <c r="B2" s="1195"/>
      <c r="C2" s="1195"/>
      <c r="D2" s="1195"/>
      <c r="E2" s="1195"/>
      <c r="F2" s="1195"/>
      <c r="G2" s="1195"/>
      <c r="H2" s="1195"/>
      <c r="I2" s="1195"/>
      <c r="J2" s="1195"/>
      <c r="K2" s="1195"/>
      <c r="L2" s="1195"/>
      <c r="M2" s="1195"/>
      <c r="N2" s="1195"/>
      <c r="O2" s="1195"/>
      <c r="P2" s="1195"/>
      <c r="Q2" s="1195"/>
      <c r="R2" s="1195"/>
      <c r="S2" s="1195"/>
      <c r="T2" s="1195"/>
      <c r="U2" s="1196"/>
      <c r="V2" s="119" t="s">
        <v>20</v>
      </c>
      <c r="W2" s="120" t="s">
        <v>17</v>
      </c>
      <c r="X2" s="120" t="s">
        <v>29</v>
      </c>
      <c r="Y2" s="120" t="s">
        <v>24</v>
      </c>
      <c r="Z2" s="120" t="s">
        <v>12</v>
      </c>
      <c r="AA2" s="120" t="s">
        <v>7</v>
      </c>
      <c r="AB2" s="121" t="s">
        <v>15</v>
      </c>
      <c r="AD2" s="1126" t="str">
        <f>año!$S$4</f>
        <v>MARZO</v>
      </c>
      <c r="AE2" s="1126"/>
      <c r="AF2" s="1126"/>
      <c r="AG2" s="1126"/>
      <c r="AH2" s="1126"/>
      <c r="AJ2" s="119" t="s">
        <v>20</v>
      </c>
      <c r="AK2" s="120" t="s">
        <v>17</v>
      </c>
      <c r="AL2" s="120" t="s">
        <v>29</v>
      </c>
      <c r="AM2" s="120" t="s">
        <v>24</v>
      </c>
      <c r="AN2" s="120" t="s">
        <v>12</v>
      </c>
      <c r="AO2" s="120" t="s">
        <v>7</v>
      </c>
      <c r="AP2" s="121" t="s">
        <v>15</v>
      </c>
    </row>
    <row r="3" spans="1:42" ht="9" customHeight="1">
      <c r="A3" s="166"/>
      <c r="B3" s="1195"/>
      <c r="C3" s="1195"/>
      <c r="D3" s="1195"/>
      <c r="E3" s="1195"/>
      <c r="F3" s="1195"/>
      <c r="G3" s="1195"/>
      <c r="H3" s="1195"/>
      <c r="I3" s="1195"/>
      <c r="J3" s="1195"/>
      <c r="K3" s="1195"/>
      <c r="L3" s="1195"/>
      <c r="M3" s="1195"/>
      <c r="N3" s="1195"/>
      <c r="O3" s="1195"/>
      <c r="P3" s="1195"/>
      <c r="Q3" s="1195"/>
      <c r="R3" s="1195"/>
      <c r="S3" s="1195"/>
      <c r="T3" s="1195"/>
      <c r="U3" s="1196"/>
      <c r="V3" s="135" t="str">
        <f>año!K6</f>
        <v xml:space="preserve"> </v>
      </c>
      <c r="W3" s="123" t="str">
        <f>año!L6</f>
        <v xml:space="preserve"> </v>
      </c>
      <c r="X3" s="123" t="str">
        <f>año!M6</f>
        <v xml:space="preserve"> </v>
      </c>
      <c r="Y3" s="123">
        <f>año!N6</f>
        <v>1</v>
      </c>
      <c r="Z3" s="123">
        <f>año!O6</f>
        <v>2</v>
      </c>
      <c r="AA3" s="418">
        <f>año!P6</f>
        <v>3</v>
      </c>
      <c r="AB3" s="701">
        <f>año!Q6</f>
        <v>4</v>
      </c>
      <c r="AD3" s="1126"/>
      <c r="AE3" s="1126"/>
      <c r="AF3" s="1126"/>
      <c r="AG3" s="1126"/>
      <c r="AH3" s="1126"/>
      <c r="AJ3" s="205">
        <f>año!AA6</f>
        <v>1</v>
      </c>
      <c r="AK3" s="129">
        <f>año!AB6</f>
        <v>2</v>
      </c>
      <c r="AL3" s="129">
        <f>año!AC6</f>
        <v>3</v>
      </c>
      <c r="AM3" s="129">
        <f>año!AD6</f>
        <v>4</v>
      </c>
      <c r="AN3" s="129">
        <f>año!AE6</f>
        <v>5</v>
      </c>
      <c r="AO3" s="129">
        <f>año!AF6</f>
        <v>6</v>
      </c>
      <c r="AP3" s="132">
        <f>año!AG6</f>
        <v>7</v>
      </c>
    </row>
    <row r="4" spans="1:42" ht="9" customHeight="1">
      <c r="A4" s="166"/>
      <c r="B4" s="1195"/>
      <c r="C4" s="1195"/>
      <c r="D4" s="1195"/>
      <c r="E4" s="1195"/>
      <c r="F4" s="1195"/>
      <c r="G4" s="1195"/>
      <c r="H4" s="1195"/>
      <c r="I4" s="1195"/>
      <c r="J4" s="1195"/>
      <c r="K4" s="1195"/>
      <c r="L4" s="1195"/>
      <c r="M4" s="1195"/>
      <c r="N4" s="1195"/>
      <c r="O4" s="1195"/>
      <c r="P4" s="1195"/>
      <c r="Q4" s="1195"/>
      <c r="R4" s="1195"/>
      <c r="S4" s="1195"/>
      <c r="T4" s="1195"/>
      <c r="U4" s="1196"/>
      <c r="V4" s="124">
        <f>año!K7</f>
        <v>5</v>
      </c>
      <c r="W4" s="125">
        <f>año!L7</f>
        <v>6</v>
      </c>
      <c r="X4" s="125">
        <f>año!M7</f>
        <v>7</v>
      </c>
      <c r="Y4" s="125">
        <f>año!N7</f>
        <v>8</v>
      </c>
      <c r="Z4" s="125">
        <f>año!O7</f>
        <v>9</v>
      </c>
      <c r="AA4" s="125">
        <f>año!P7</f>
        <v>10</v>
      </c>
      <c r="AB4" s="133">
        <f>año!Q7</f>
        <v>11</v>
      </c>
      <c r="AD4" s="1126"/>
      <c r="AE4" s="1126"/>
      <c r="AF4" s="1126"/>
      <c r="AG4" s="1126"/>
      <c r="AH4" s="1126"/>
      <c r="AJ4" s="130">
        <f>año!AA7</f>
        <v>8</v>
      </c>
      <c r="AK4" s="131">
        <f>año!AB7</f>
        <v>9</v>
      </c>
      <c r="AL4" s="131">
        <f>año!AC7</f>
        <v>10</v>
      </c>
      <c r="AM4" s="131">
        <f>año!AD7</f>
        <v>11</v>
      </c>
      <c r="AN4" s="131">
        <f>año!AE7</f>
        <v>12</v>
      </c>
      <c r="AO4" s="356">
        <f>año!AF7</f>
        <v>13</v>
      </c>
      <c r="AP4" s="133">
        <f>año!AG7</f>
        <v>14</v>
      </c>
    </row>
    <row r="5" spans="1:42" ht="9" customHeight="1">
      <c r="A5" s="166"/>
      <c r="C5" s="344"/>
      <c r="D5" s="344"/>
      <c r="E5" s="344"/>
      <c r="F5" s="344"/>
      <c r="G5" s="344"/>
      <c r="H5" s="344"/>
      <c r="I5" s="344"/>
      <c r="J5" s="344"/>
      <c r="K5" s="344"/>
      <c r="L5" s="344"/>
      <c r="M5" s="344"/>
      <c r="N5" s="344"/>
      <c r="O5" s="344"/>
      <c r="P5" s="344"/>
      <c r="Q5" s="344"/>
      <c r="R5" s="344"/>
      <c r="S5" s="344"/>
      <c r="T5" s="344"/>
      <c r="U5" s="347"/>
      <c r="V5" s="124">
        <f>año!K8</f>
        <v>12</v>
      </c>
      <c r="W5" s="125">
        <f>año!L8</f>
        <v>13</v>
      </c>
      <c r="X5" s="125">
        <f>año!M8</f>
        <v>14</v>
      </c>
      <c r="Y5" s="125">
        <f>año!N8</f>
        <v>15</v>
      </c>
      <c r="Z5" s="125">
        <f>año!O8</f>
        <v>16</v>
      </c>
      <c r="AA5" s="125">
        <f>año!P8</f>
        <v>17</v>
      </c>
      <c r="AB5" s="133">
        <f>año!Q8</f>
        <v>18</v>
      </c>
      <c r="AD5" s="1044">
        <f>año!$O$1</f>
        <v>2024</v>
      </c>
      <c r="AE5" s="1045"/>
      <c r="AF5" s="1045"/>
      <c r="AG5" s="1045"/>
      <c r="AH5" s="1045"/>
      <c r="AJ5" s="130">
        <f>año!AA8</f>
        <v>15</v>
      </c>
      <c r="AK5" s="131">
        <f>año!AB8</f>
        <v>16</v>
      </c>
      <c r="AL5" s="131">
        <f>año!AC8</f>
        <v>17</v>
      </c>
      <c r="AM5" s="131">
        <f>año!AD8</f>
        <v>18</v>
      </c>
      <c r="AN5" s="131">
        <f>año!AE8</f>
        <v>19</v>
      </c>
      <c r="AO5" s="131">
        <f>año!AF8</f>
        <v>20</v>
      </c>
      <c r="AP5" s="133">
        <f>año!AG8</f>
        <v>21</v>
      </c>
    </row>
    <row r="6" spans="1:42" ht="9" customHeight="1">
      <c r="B6" s="346"/>
      <c r="C6" s="344"/>
      <c r="D6" s="344"/>
      <c r="E6" s="344"/>
      <c r="F6" s="344"/>
      <c r="G6" s="344"/>
      <c r="H6" s="344"/>
      <c r="I6" s="344"/>
      <c r="J6" s="344"/>
      <c r="K6" s="344"/>
      <c r="L6" s="344"/>
      <c r="M6" s="344"/>
      <c r="N6" s="344"/>
      <c r="O6" s="344"/>
      <c r="P6" s="344"/>
      <c r="Q6" s="344"/>
      <c r="R6" s="344"/>
      <c r="S6" s="344"/>
      <c r="T6" s="344"/>
      <c r="U6" s="347"/>
      <c r="V6" s="124">
        <f>año!K9</f>
        <v>19</v>
      </c>
      <c r="W6" s="125">
        <f>año!L9</f>
        <v>20</v>
      </c>
      <c r="X6" s="125">
        <f>año!M9</f>
        <v>21</v>
      </c>
      <c r="Y6" s="125">
        <f>año!N9</f>
        <v>22</v>
      </c>
      <c r="Z6" s="125">
        <f>año!O9</f>
        <v>23</v>
      </c>
      <c r="AA6" s="125">
        <f>año!P9</f>
        <v>24</v>
      </c>
      <c r="AB6" s="133">
        <f>año!Q9</f>
        <v>25</v>
      </c>
      <c r="AD6" s="1045"/>
      <c r="AE6" s="1045"/>
      <c r="AF6" s="1045"/>
      <c r="AG6" s="1045"/>
      <c r="AH6" s="1045"/>
      <c r="AJ6" s="130">
        <f>año!AA9</f>
        <v>22</v>
      </c>
      <c r="AK6" s="131">
        <f>año!AB9</f>
        <v>23</v>
      </c>
      <c r="AL6" s="131">
        <f>año!AC9</f>
        <v>24</v>
      </c>
      <c r="AM6" s="131">
        <f>año!AD9</f>
        <v>25</v>
      </c>
      <c r="AN6" s="131">
        <f>año!AE9</f>
        <v>26</v>
      </c>
      <c r="AO6" s="131">
        <f>año!AF9</f>
        <v>27</v>
      </c>
      <c r="AP6" s="133">
        <f>año!AG9</f>
        <v>28</v>
      </c>
    </row>
    <row r="7" spans="1:42" ht="9" customHeight="1">
      <c r="B7" s="346"/>
      <c r="C7" s="344"/>
      <c r="D7" s="344"/>
      <c r="E7" s="344"/>
      <c r="F7" s="344"/>
      <c r="G7" s="344"/>
      <c r="H7" s="344"/>
      <c r="I7" s="344"/>
      <c r="J7" s="344"/>
      <c r="K7" s="344"/>
      <c r="L7" s="344"/>
      <c r="M7" s="344"/>
      <c r="N7" s="344"/>
      <c r="O7" s="344"/>
      <c r="P7" s="344"/>
      <c r="Q7" s="344"/>
      <c r="R7" s="344"/>
      <c r="S7" s="344"/>
      <c r="T7" s="344"/>
      <c r="U7" s="347"/>
      <c r="V7" s="124">
        <f>año!K10</f>
        <v>26</v>
      </c>
      <c r="W7" s="125">
        <f>año!L10</f>
        <v>27</v>
      </c>
      <c r="X7" s="125">
        <f>año!M10</f>
        <v>28</v>
      </c>
      <c r="Y7" s="125">
        <f>año!N10</f>
        <v>29</v>
      </c>
      <c r="Z7" s="125" t="str">
        <f>año!O10</f>
        <v xml:space="preserve"> </v>
      </c>
      <c r="AA7" s="125" t="str">
        <f>año!P10</f>
        <v xml:space="preserve"> </v>
      </c>
      <c r="AB7" s="133" t="str">
        <f>año!Q10</f>
        <v xml:space="preserve"> </v>
      </c>
      <c r="AD7" s="1045"/>
      <c r="AE7" s="1045"/>
      <c r="AF7" s="1045"/>
      <c r="AG7" s="1045"/>
      <c r="AH7" s="1045"/>
      <c r="AJ7" s="130">
        <f>año!AA10</f>
        <v>29</v>
      </c>
      <c r="AK7" s="131">
        <f>año!AB10</f>
        <v>30</v>
      </c>
      <c r="AL7" s="131" t="str">
        <f>año!AC10</f>
        <v xml:space="preserve"> </v>
      </c>
      <c r="AM7" s="131" t="str">
        <f>año!AD10</f>
        <v xml:space="preserve"> </v>
      </c>
      <c r="AN7" s="131" t="str">
        <f>año!AE10</f>
        <v xml:space="preserve"> </v>
      </c>
      <c r="AO7" s="131" t="str">
        <f>año!AF10</f>
        <v xml:space="preserve"> </v>
      </c>
      <c r="AP7" s="133" t="str">
        <f>año!AG10</f>
        <v xml:space="preserve"> </v>
      </c>
    </row>
    <row r="8" spans="1:42" ht="9" customHeight="1" thickBot="1">
      <c r="B8" s="346"/>
      <c r="C8" s="344"/>
      <c r="D8" s="344"/>
      <c r="E8" s="344"/>
      <c r="F8" s="344"/>
      <c r="G8" s="344"/>
      <c r="H8" s="344"/>
      <c r="I8" s="344"/>
      <c r="J8" s="344"/>
      <c r="K8" s="344"/>
      <c r="L8" s="344"/>
      <c r="M8" s="344"/>
      <c r="N8" s="344"/>
      <c r="O8" s="344"/>
      <c r="P8" s="344"/>
      <c r="Q8" s="344"/>
      <c r="R8" s="344"/>
      <c r="S8" s="344"/>
      <c r="T8" s="344"/>
      <c r="U8" s="347"/>
      <c r="V8" s="126" t="str">
        <f>año!K11</f>
        <v xml:space="preserve"> </v>
      </c>
      <c r="W8" s="127" t="str">
        <f>año!L11</f>
        <v xml:space="preserve"> </v>
      </c>
      <c r="X8" s="127" t="str">
        <f>año!M11</f>
        <v xml:space="preserve"> </v>
      </c>
      <c r="Y8" s="127" t="str">
        <f>año!N11</f>
        <v xml:space="preserve"> </v>
      </c>
      <c r="Z8" s="127" t="str">
        <f>año!O11</f>
        <v xml:space="preserve"> </v>
      </c>
      <c r="AA8" s="127" t="str">
        <f>año!P11</f>
        <v xml:space="preserve"> </v>
      </c>
      <c r="AB8" s="134" t="str">
        <f>año!Q11</f>
        <v xml:space="preserve"> </v>
      </c>
      <c r="AJ8" s="126" t="str">
        <f>año!AA11</f>
        <v xml:space="preserve"> </v>
      </c>
      <c r="AK8" s="1157" t="str">
        <f>año!AC11</f>
        <v/>
      </c>
      <c r="AL8" s="1158"/>
      <c r="AM8" s="1158"/>
      <c r="AN8" s="1158"/>
      <c r="AO8" s="1158"/>
      <c r="AP8" s="137" t="str">
        <f>año!AG11</f>
        <v/>
      </c>
    </row>
    <row r="9" spans="1:42" ht="9" customHeight="1">
      <c r="B9" s="346"/>
      <c r="C9" s="344"/>
      <c r="D9" s="344"/>
      <c r="E9" s="344"/>
      <c r="F9" s="344"/>
      <c r="G9" s="344"/>
      <c r="H9" s="344"/>
      <c r="I9" s="344"/>
      <c r="J9" s="344"/>
      <c r="K9" s="344"/>
      <c r="L9" s="344"/>
      <c r="M9" s="344"/>
      <c r="N9" s="344"/>
      <c r="O9" s="344"/>
      <c r="P9" s="344"/>
      <c r="Q9" s="344"/>
      <c r="R9" s="344"/>
      <c r="S9" s="344"/>
      <c r="T9" s="344"/>
      <c r="U9" s="348"/>
      <c r="V9" s="112"/>
      <c r="W9" s="112"/>
      <c r="X9" s="112"/>
      <c r="Y9" s="112"/>
      <c r="Z9" s="112"/>
      <c r="AA9" s="112"/>
      <c r="AB9" s="112"/>
      <c r="AC9" s="112"/>
      <c r="AD9" s="112"/>
      <c r="AE9" s="112"/>
      <c r="AF9" s="112"/>
      <c r="AG9" s="112"/>
      <c r="AH9" s="112"/>
      <c r="AI9" s="112"/>
      <c r="AJ9" s="112"/>
      <c r="AK9" s="112"/>
      <c r="AL9" s="112"/>
      <c r="AM9" s="112"/>
      <c r="AN9" s="112"/>
      <c r="AO9" s="112"/>
      <c r="AP9" s="112"/>
    </row>
    <row r="10" spans="1:42" ht="9" customHeight="1">
      <c r="B10" s="346"/>
      <c r="C10" s="344"/>
      <c r="D10" s="344"/>
      <c r="E10" s="344"/>
      <c r="F10" s="344"/>
      <c r="G10" s="344"/>
      <c r="H10" s="344"/>
      <c r="I10" s="344"/>
      <c r="J10" s="344"/>
      <c r="K10" s="344"/>
      <c r="L10" s="344"/>
      <c r="M10" s="344"/>
      <c r="N10" s="344"/>
      <c r="O10" s="344"/>
      <c r="P10" s="344"/>
      <c r="Q10" s="344"/>
      <c r="R10" s="344"/>
      <c r="S10" s="344"/>
      <c r="T10" s="344"/>
      <c r="U10" s="348"/>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047"/>
    </row>
    <row r="11" spans="1:42" ht="9" customHeight="1">
      <c r="B11" s="346"/>
      <c r="C11" s="344"/>
      <c r="D11" s="344"/>
      <c r="E11" s="344"/>
      <c r="F11" s="344"/>
      <c r="G11" s="344"/>
      <c r="H11" s="344"/>
      <c r="I11" s="344"/>
      <c r="J11" s="344"/>
      <c r="K11" s="344"/>
      <c r="L11" s="344"/>
      <c r="M11" s="344"/>
      <c r="N11" s="344"/>
      <c r="O11" s="344"/>
      <c r="P11" s="344"/>
      <c r="Q11" s="344"/>
      <c r="R11" s="344"/>
      <c r="S11" s="344"/>
      <c r="T11" s="344"/>
      <c r="U11" s="348"/>
      <c r="V11" s="1060" t="str">
        <f>año!S6</f>
        <v xml:space="preserve"> </v>
      </c>
      <c r="W11" s="1061"/>
      <c r="X11" s="1061"/>
      <c r="Y11" s="1061" t="str">
        <f>año!T6</f>
        <v xml:space="preserve"> </v>
      </c>
      <c r="Z11" s="1061"/>
      <c r="AA11" s="1061"/>
      <c r="AB11" s="1061" t="str">
        <f>año!U6</f>
        <v xml:space="preserve"> </v>
      </c>
      <c r="AC11" s="1061"/>
      <c r="AD11" s="1061"/>
      <c r="AE11" s="1061" t="str">
        <f>año!V6</f>
        <v xml:space="preserve"> </v>
      </c>
      <c r="AF11" s="1061"/>
      <c r="AG11" s="1061"/>
      <c r="AH11" s="1061">
        <f>año!W6</f>
        <v>1</v>
      </c>
      <c r="AI11" s="1061"/>
      <c r="AJ11" s="1061"/>
      <c r="AK11" s="1061">
        <f>año!X6</f>
        <v>2</v>
      </c>
      <c r="AL11" s="1061"/>
      <c r="AM11" s="1061"/>
      <c r="AN11" s="1062">
        <f>año!Y6</f>
        <v>3</v>
      </c>
      <c r="AO11" s="1062"/>
      <c r="AP11" s="1063"/>
    </row>
    <row r="12" spans="1:42" ht="9" customHeight="1">
      <c r="B12" s="346"/>
      <c r="C12" s="344"/>
      <c r="D12" s="344"/>
      <c r="E12" s="344"/>
      <c r="F12" s="344"/>
      <c r="G12" s="344"/>
      <c r="H12" s="344"/>
      <c r="I12" s="344"/>
      <c r="J12" s="344"/>
      <c r="K12" s="344"/>
      <c r="L12" s="344"/>
      <c r="M12" s="344"/>
      <c r="N12" s="344"/>
      <c r="O12" s="344"/>
      <c r="P12" s="344"/>
      <c r="Q12" s="344"/>
      <c r="R12" s="344"/>
      <c r="S12" s="344"/>
      <c r="T12" s="344"/>
      <c r="U12" s="348"/>
      <c r="V12" s="1051"/>
      <c r="W12" s="1052"/>
      <c r="X12" s="1052"/>
      <c r="Y12" s="1052"/>
      <c r="Z12" s="1052"/>
      <c r="AA12" s="1052"/>
      <c r="AB12" s="1052"/>
      <c r="AC12" s="1052"/>
      <c r="AD12" s="1052"/>
      <c r="AE12" s="1052"/>
      <c r="AF12" s="1052"/>
      <c r="AG12" s="1052"/>
      <c r="AH12" s="1052"/>
      <c r="AI12" s="1052"/>
      <c r="AJ12" s="1052"/>
      <c r="AK12" s="1052"/>
      <c r="AL12" s="1052"/>
      <c r="AM12" s="1052"/>
      <c r="AN12" s="1064"/>
      <c r="AO12" s="1064"/>
      <c r="AP12" s="1065"/>
    </row>
    <row r="13" spans="1:42" ht="9" customHeight="1">
      <c r="B13" s="346"/>
      <c r="C13" s="344"/>
      <c r="D13" s="344"/>
      <c r="E13" s="344"/>
      <c r="F13" s="344"/>
      <c r="G13" s="344"/>
      <c r="H13" s="344"/>
      <c r="I13" s="344"/>
      <c r="J13" s="344"/>
      <c r="K13" s="344"/>
      <c r="L13" s="344"/>
      <c r="M13" s="344"/>
      <c r="N13" s="344"/>
      <c r="O13" s="344"/>
      <c r="P13" s="344"/>
      <c r="Q13" s="344"/>
      <c r="R13" s="344"/>
      <c r="S13" s="344"/>
      <c r="T13" s="344"/>
      <c r="U13" s="348"/>
      <c r="V13" s="1051"/>
      <c r="W13" s="1052"/>
      <c r="X13" s="1052"/>
      <c r="Y13" s="1052"/>
      <c r="Z13" s="1052"/>
      <c r="AA13" s="1052"/>
      <c r="AB13" s="1052"/>
      <c r="AC13" s="1052"/>
      <c r="AD13" s="1052"/>
      <c r="AE13" s="1052"/>
      <c r="AF13" s="1052"/>
      <c r="AG13" s="1052"/>
      <c r="AH13" s="1052"/>
      <c r="AI13" s="1052"/>
      <c r="AJ13" s="1052"/>
      <c r="AK13" s="1052"/>
      <c r="AL13" s="1052"/>
      <c r="AM13" s="1052"/>
      <c r="AN13" s="1064"/>
      <c r="AO13" s="1064"/>
      <c r="AP13" s="1065"/>
    </row>
    <row r="14" spans="1:42" ht="9" customHeight="1">
      <c r="B14" s="346"/>
      <c r="C14" s="344"/>
      <c r="D14" s="344"/>
      <c r="E14" s="344"/>
      <c r="F14" s="344"/>
      <c r="G14" s="344"/>
      <c r="H14" s="344"/>
      <c r="I14" s="344"/>
      <c r="J14" s="344"/>
      <c r="K14" s="344"/>
      <c r="L14" s="344"/>
      <c r="M14" s="344"/>
      <c r="N14" s="344"/>
      <c r="O14" s="344"/>
      <c r="P14" s="344"/>
      <c r="Q14" s="344"/>
      <c r="R14" s="344"/>
      <c r="S14" s="344"/>
      <c r="T14" s="344"/>
      <c r="U14" s="348"/>
      <c r="V14" s="1049" t="str">
        <f>IF(V11&lt;&gt;" ",VLOOKUP(V11,$F$40:$H$70,2)," ")</f>
        <v xml:space="preserve"> </v>
      </c>
      <c r="W14" s="1050"/>
      <c r="X14" s="1050"/>
      <c r="Y14" s="1050" t="str">
        <f>IF(Y11&lt;&gt;" ",VLOOKUP(Y11,$F$40:$H$70,2)," ")</f>
        <v xml:space="preserve"> </v>
      </c>
      <c r="Z14" s="1050"/>
      <c r="AA14" s="1050"/>
      <c r="AB14" s="1050" t="str">
        <f>IF(AB11&lt;&gt;" ",VLOOKUP(AB11,$F$40:$H$70,2)," ")</f>
        <v xml:space="preserve"> </v>
      </c>
      <c r="AC14" s="1050"/>
      <c r="AD14" s="1050"/>
      <c r="AE14" s="1050" t="str">
        <f>IF(AE11&lt;&gt;" ",VLOOKUP(AE11,$F$40:$H$70,2)," ")</f>
        <v xml:space="preserve"> </v>
      </c>
      <c r="AF14" s="1050"/>
      <c r="AG14" s="1050"/>
      <c r="AH14" s="1050" t="str">
        <f>IF(AH11&lt;&gt;" ",VLOOKUP(AH11,$F$40:$H$70,2)," ")</f>
        <v>Dia Baleares</v>
      </c>
      <c r="AI14" s="1050"/>
      <c r="AJ14" s="1050"/>
      <c r="AK14" s="1050" t="str">
        <f>IF(AK11&lt;&gt;" ",VLOOKUP(AK11,$F$40:$H$70,2)," ")</f>
        <v>Simplicio</v>
      </c>
      <c r="AL14" s="1050"/>
      <c r="AM14" s="1050"/>
      <c r="AN14" s="1050" t="str">
        <f>IF(AN11&lt;&gt;" ",VLOOKUP(AN11,$F$40:$H$70,2)," ")</f>
        <v>Emeterio</v>
      </c>
      <c r="AO14" s="1050"/>
      <c r="AP14" s="1066"/>
    </row>
    <row r="15" spans="1:42" ht="9" customHeight="1">
      <c r="B15" s="346"/>
      <c r="C15" s="344"/>
      <c r="D15" s="344"/>
      <c r="E15" s="344"/>
      <c r="F15" s="344"/>
      <c r="G15" s="344"/>
      <c r="H15" s="344"/>
      <c r="I15" s="344"/>
      <c r="J15" s="344"/>
      <c r="K15" s="344"/>
      <c r="L15" s="344"/>
      <c r="M15" s="344"/>
      <c r="N15" s="344"/>
      <c r="O15" s="344"/>
      <c r="P15" s="344"/>
      <c r="Q15" s="344"/>
      <c r="R15" s="344"/>
      <c r="S15" s="344"/>
      <c r="T15" s="344"/>
      <c r="U15" s="348"/>
      <c r="V15" s="1051">
        <f>año!S7</f>
        <v>4</v>
      </c>
      <c r="W15" s="1052"/>
      <c r="X15" s="1052"/>
      <c r="Y15" s="1052">
        <f>año!T7</f>
        <v>5</v>
      </c>
      <c r="Z15" s="1052"/>
      <c r="AA15" s="1052"/>
      <c r="AB15" s="1052">
        <f>año!U7</f>
        <v>6</v>
      </c>
      <c r="AC15" s="1052"/>
      <c r="AD15" s="1052"/>
      <c r="AE15" s="1052">
        <f>año!V7</f>
        <v>7</v>
      </c>
      <c r="AF15" s="1052"/>
      <c r="AG15" s="1052"/>
      <c r="AH15" s="1052">
        <f>año!W7</f>
        <v>8</v>
      </c>
      <c r="AI15" s="1052"/>
      <c r="AJ15" s="1052"/>
      <c r="AK15" s="1052">
        <f>año!X7</f>
        <v>9</v>
      </c>
      <c r="AL15" s="1052"/>
      <c r="AM15" s="1052"/>
      <c r="AN15" s="1064">
        <f>año!Y7</f>
        <v>10</v>
      </c>
      <c r="AO15" s="1064"/>
      <c r="AP15" s="1065"/>
    </row>
    <row r="16" spans="1:42" ht="9" customHeight="1">
      <c r="B16" s="346"/>
      <c r="C16" s="344"/>
      <c r="D16" s="344"/>
      <c r="E16" s="344"/>
      <c r="F16" s="344"/>
      <c r="G16" s="344"/>
      <c r="H16" s="344"/>
      <c r="I16" s="344"/>
      <c r="J16" s="344"/>
      <c r="K16" s="344"/>
      <c r="L16" s="344"/>
      <c r="M16" s="344"/>
      <c r="N16" s="344"/>
      <c r="O16" s="344"/>
      <c r="P16" s="344"/>
      <c r="Q16" s="344"/>
      <c r="R16" s="344"/>
      <c r="S16" s="344"/>
      <c r="T16" s="344"/>
      <c r="U16" s="348"/>
      <c r="V16" s="1051"/>
      <c r="W16" s="1052"/>
      <c r="X16" s="1052"/>
      <c r="Y16" s="1052"/>
      <c r="Z16" s="1052"/>
      <c r="AA16" s="1052"/>
      <c r="AB16" s="1052"/>
      <c r="AC16" s="1052"/>
      <c r="AD16" s="1052"/>
      <c r="AE16" s="1052"/>
      <c r="AF16" s="1052"/>
      <c r="AG16" s="1052"/>
      <c r="AH16" s="1052"/>
      <c r="AI16" s="1052"/>
      <c r="AJ16" s="1052"/>
      <c r="AK16" s="1052"/>
      <c r="AL16" s="1052"/>
      <c r="AM16" s="1052"/>
      <c r="AN16" s="1064"/>
      <c r="AO16" s="1064"/>
      <c r="AP16" s="1065"/>
    </row>
    <row r="17" spans="2:42" ht="9" customHeight="1">
      <c r="B17" s="346"/>
      <c r="C17" s="344"/>
      <c r="D17" s="344"/>
      <c r="E17" s="344"/>
      <c r="F17" s="344"/>
      <c r="G17" s="344"/>
      <c r="H17" s="344"/>
      <c r="I17" s="344"/>
      <c r="J17" s="344"/>
      <c r="K17" s="344"/>
      <c r="L17" s="344"/>
      <c r="M17" s="344"/>
      <c r="N17" s="344"/>
      <c r="O17" s="344"/>
      <c r="P17" s="344"/>
      <c r="Q17" s="344"/>
      <c r="R17" s="344"/>
      <c r="S17" s="344"/>
      <c r="T17" s="344"/>
      <c r="U17" s="348"/>
      <c r="V17" s="1051"/>
      <c r="W17" s="1052"/>
      <c r="X17" s="1052"/>
      <c r="Y17" s="1052"/>
      <c r="Z17" s="1052"/>
      <c r="AA17" s="1052"/>
      <c r="AB17" s="1052"/>
      <c r="AC17" s="1052"/>
      <c r="AD17" s="1052"/>
      <c r="AE17" s="1052"/>
      <c r="AF17" s="1052"/>
      <c r="AG17" s="1052"/>
      <c r="AH17" s="1052"/>
      <c r="AI17" s="1052"/>
      <c r="AJ17" s="1052"/>
      <c r="AK17" s="1052"/>
      <c r="AL17" s="1052"/>
      <c r="AM17" s="1052"/>
      <c r="AN17" s="1064"/>
      <c r="AO17" s="1064"/>
      <c r="AP17" s="1065"/>
    </row>
    <row r="18" spans="2:42" ht="9" customHeight="1">
      <c r="B18" s="346"/>
      <c r="C18" s="344"/>
      <c r="D18" s="344"/>
      <c r="E18" s="344"/>
      <c r="F18" s="344"/>
      <c r="G18" s="344"/>
      <c r="H18" s="344"/>
      <c r="I18" s="344"/>
      <c r="J18" s="344"/>
      <c r="K18" s="344"/>
      <c r="L18" s="344"/>
      <c r="M18" s="344"/>
      <c r="N18" s="344"/>
      <c r="O18" s="344"/>
      <c r="P18" s="344"/>
      <c r="Q18" s="344"/>
      <c r="R18" s="344"/>
      <c r="S18" s="344"/>
      <c r="T18" s="344"/>
      <c r="U18" s="348"/>
      <c r="V18" s="1049" t="str">
        <f>IF(V15&lt;&gt;" ",VLOOKUP(V15,$F$40:$H$70,2)," ")</f>
        <v>Casimiro</v>
      </c>
      <c r="W18" s="1050"/>
      <c r="X18" s="1050"/>
      <c r="Y18" s="1050" t="str">
        <f>IF(Y15&lt;&gt;" ",VLOOKUP(Y15,$F$40:$H$70,2)," ")</f>
        <v>José Oriol</v>
      </c>
      <c r="Z18" s="1050"/>
      <c r="AA18" s="1050"/>
      <c r="AB18" s="1050" t="str">
        <f>IF(AB15&lt;&gt;" ",VLOOKUP(AB15,$F$40:$H$70,2)," ")</f>
        <v>Olegario</v>
      </c>
      <c r="AC18" s="1050"/>
      <c r="AD18" s="1050"/>
      <c r="AE18" s="1050" t="str">
        <f>IF(AE15&lt;&gt;" ",VLOOKUP(AE15,$F$40:$H$70,2)," ")</f>
        <v>Perpetua</v>
      </c>
      <c r="AF18" s="1050"/>
      <c r="AG18" s="1050"/>
      <c r="AH18" s="1050" t="str">
        <f>IF(AH15&lt;&gt;" ",VLOOKUP(AH15,$F$40:$H$70,2)," ")</f>
        <v>Juan de Diós</v>
      </c>
      <c r="AI18" s="1050"/>
      <c r="AJ18" s="1050"/>
      <c r="AK18" s="1050" t="str">
        <f>IF(AK15&lt;&gt;" ",VLOOKUP(AK15,$F$40:$H$70,2)," ")</f>
        <v>Francisca R.</v>
      </c>
      <c r="AL18" s="1050"/>
      <c r="AM18" s="1050"/>
      <c r="AN18" s="1050" t="str">
        <f>IF(AN15&lt;&gt;" ",VLOOKUP(AN15,$F$40:$H$70,2)," ")</f>
        <v>Juan Ogilvie</v>
      </c>
      <c r="AO18" s="1050"/>
      <c r="AP18" s="1066"/>
    </row>
    <row r="19" spans="2:42" ht="9" customHeight="1">
      <c r="B19" s="346"/>
      <c r="C19" s="344"/>
      <c r="D19" s="344"/>
      <c r="E19" s="344"/>
      <c r="F19" s="344"/>
      <c r="G19" s="344"/>
      <c r="H19" s="344"/>
      <c r="I19" s="344"/>
      <c r="J19" s="344"/>
      <c r="K19" s="344"/>
      <c r="L19" s="344"/>
      <c r="M19" s="344"/>
      <c r="N19" s="344"/>
      <c r="O19" s="344"/>
      <c r="P19" s="344"/>
      <c r="Q19" s="344"/>
      <c r="R19" s="344"/>
      <c r="S19" s="344"/>
      <c r="T19" s="344"/>
      <c r="U19" s="348"/>
      <c r="V19" s="1051">
        <f>año!S8</f>
        <v>11</v>
      </c>
      <c r="W19" s="1052"/>
      <c r="X19" s="1052"/>
      <c r="Y19" s="1052">
        <f>año!T8</f>
        <v>12</v>
      </c>
      <c r="Z19" s="1052"/>
      <c r="AA19" s="1052"/>
      <c r="AB19" s="1052">
        <f>año!U8</f>
        <v>13</v>
      </c>
      <c r="AC19" s="1052"/>
      <c r="AD19" s="1052"/>
      <c r="AE19" s="1052">
        <f>año!V8</f>
        <v>14</v>
      </c>
      <c r="AF19" s="1052"/>
      <c r="AG19" s="1052"/>
      <c r="AH19" s="1052">
        <f>año!W8</f>
        <v>15</v>
      </c>
      <c r="AI19" s="1052"/>
      <c r="AJ19" s="1052"/>
      <c r="AK19" s="1052">
        <f>año!X8</f>
        <v>16</v>
      </c>
      <c r="AL19" s="1052"/>
      <c r="AM19" s="1052"/>
      <c r="AN19" s="1064">
        <f>año!Y8</f>
        <v>17</v>
      </c>
      <c r="AO19" s="1064"/>
      <c r="AP19" s="1065"/>
    </row>
    <row r="20" spans="2:42" ht="9" customHeight="1">
      <c r="B20" s="346"/>
      <c r="C20" s="344"/>
      <c r="D20" s="344"/>
      <c r="E20" s="344"/>
      <c r="F20" s="344"/>
      <c r="G20" s="344"/>
      <c r="H20" s="344"/>
      <c r="I20" s="344"/>
      <c r="J20" s="344"/>
      <c r="K20" s="344"/>
      <c r="L20" s="344"/>
      <c r="M20" s="344"/>
      <c r="N20" s="344"/>
      <c r="O20" s="344"/>
      <c r="P20" s="344"/>
      <c r="Q20" s="344"/>
      <c r="R20" s="344"/>
      <c r="S20" s="344"/>
      <c r="T20" s="344"/>
      <c r="U20" s="348"/>
      <c r="V20" s="1051"/>
      <c r="W20" s="1052"/>
      <c r="X20" s="1052"/>
      <c r="Y20" s="1052"/>
      <c r="Z20" s="1052"/>
      <c r="AA20" s="1052"/>
      <c r="AB20" s="1052"/>
      <c r="AC20" s="1052"/>
      <c r="AD20" s="1052"/>
      <c r="AE20" s="1052"/>
      <c r="AF20" s="1052"/>
      <c r="AG20" s="1052"/>
      <c r="AH20" s="1052"/>
      <c r="AI20" s="1052"/>
      <c r="AJ20" s="1052"/>
      <c r="AK20" s="1052"/>
      <c r="AL20" s="1052"/>
      <c r="AM20" s="1052"/>
      <c r="AN20" s="1064"/>
      <c r="AO20" s="1064"/>
      <c r="AP20" s="1065"/>
    </row>
    <row r="21" spans="2:42" ht="9" customHeight="1">
      <c r="B21" s="346"/>
      <c r="C21" s="344"/>
      <c r="D21" s="344"/>
      <c r="E21" s="344"/>
      <c r="F21" s="344"/>
      <c r="G21" s="344"/>
      <c r="H21" s="344"/>
      <c r="I21" s="344"/>
      <c r="J21" s="344"/>
      <c r="K21" s="344"/>
      <c r="L21" s="344"/>
      <c r="M21" s="344"/>
      <c r="N21" s="344"/>
      <c r="O21" s="344"/>
      <c r="P21" s="344"/>
      <c r="Q21" s="344"/>
      <c r="R21" s="344"/>
      <c r="S21" s="344"/>
      <c r="T21" s="344"/>
      <c r="U21" s="348"/>
      <c r="V21" s="1051"/>
      <c r="W21" s="1052"/>
      <c r="X21" s="1052"/>
      <c r="Y21" s="1052"/>
      <c r="Z21" s="1052"/>
      <c r="AA21" s="1052"/>
      <c r="AB21" s="1052"/>
      <c r="AC21" s="1052"/>
      <c r="AD21" s="1052"/>
      <c r="AE21" s="1052"/>
      <c r="AF21" s="1052"/>
      <c r="AG21" s="1052"/>
      <c r="AH21" s="1052"/>
      <c r="AI21" s="1052"/>
      <c r="AJ21" s="1052"/>
      <c r="AK21" s="1052"/>
      <c r="AL21" s="1052"/>
      <c r="AM21" s="1052"/>
      <c r="AN21" s="1064"/>
      <c r="AO21" s="1064"/>
      <c r="AP21" s="1065"/>
    </row>
    <row r="22" spans="2:42" ht="9" customHeight="1">
      <c r="B22" s="346"/>
      <c r="C22" s="344"/>
      <c r="D22" s="344"/>
      <c r="E22" s="344"/>
      <c r="F22" s="344"/>
      <c r="G22" s="344"/>
      <c r="H22" s="344"/>
      <c r="I22" s="344"/>
      <c r="J22" s="344"/>
      <c r="K22" s="344"/>
      <c r="L22" s="344"/>
      <c r="M22" s="344"/>
      <c r="N22" s="344"/>
      <c r="O22" s="344"/>
      <c r="P22" s="344"/>
      <c r="Q22" s="344"/>
      <c r="R22" s="344"/>
      <c r="S22" s="344"/>
      <c r="T22" s="344"/>
      <c r="U22" s="348"/>
      <c r="V22" s="1049" t="str">
        <f>IF(V19&lt;&gt;" ",VLOOKUP(V19,$F$40:$H$70,2)," ")</f>
        <v>Eulogio</v>
      </c>
      <c r="W22" s="1050"/>
      <c r="X22" s="1050"/>
      <c r="Y22" s="1050" t="str">
        <f>IF(Y19&lt;&gt;" ",VLOOKUP(Y19,$F$40:$H$70,2)," ")</f>
        <v>Inocencio</v>
      </c>
      <c r="Z22" s="1050"/>
      <c r="AA22" s="1050"/>
      <c r="AB22" s="1050" t="str">
        <f>IF(AB19&lt;&gt;" ",VLOOKUP(AB19,$F$40:$H$70,2)," ")</f>
        <v>Rodrigo</v>
      </c>
      <c r="AC22" s="1050"/>
      <c r="AD22" s="1050"/>
      <c r="AE22" s="1050" t="str">
        <f>IF(AE19&lt;&gt;" ",VLOOKUP(AE19,$F$40:$H$70,2)," ")</f>
        <v>Matilde</v>
      </c>
      <c r="AF22" s="1050"/>
      <c r="AG22" s="1050"/>
      <c r="AH22" s="1050" t="str">
        <f>IF(AH19&lt;&gt;" ",VLOOKUP(AH19,$F$40:$H$70,2)," ")</f>
        <v>Luisa</v>
      </c>
      <c r="AI22" s="1050"/>
      <c r="AJ22" s="1050"/>
      <c r="AK22" s="1050" t="str">
        <f>IF(AK19&lt;&gt;" ",VLOOKUP(AK19,$F$40:$H$70,2)," ")</f>
        <v>Abraham</v>
      </c>
      <c r="AL22" s="1050"/>
      <c r="AM22" s="1050"/>
      <c r="AN22" s="1050" t="str">
        <f>IF(AN19&lt;&gt;" ",VLOOKUP(AN19,$F$40:$H$70,2)," ")</f>
        <v>Patricio</v>
      </c>
      <c r="AO22" s="1050"/>
      <c r="AP22" s="1066"/>
    </row>
    <row r="23" spans="2:42" ht="9" customHeight="1">
      <c r="B23" s="346"/>
      <c r="C23" s="344"/>
      <c r="D23" s="344"/>
      <c r="E23" s="344"/>
      <c r="F23" s="344"/>
      <c r="G23" s="344"/>
      <c r="H23" s="344"/>
      <c r="I23" s="344"/>
      <c r="J23" s="344"/>
      <c r="K23" s="344"/>
      <c r="L23" s="344"/>
      <c r="M23" s="344"/>
      <c r="N23" s="344"/>
      <c r="O23" s="344"/>
      <c r="P23" s="344"/>
      <c r="Q23" s="344"/>
      <c r="R23" s="344"/>
      <c r="S23" s="344"/>
      <c r="T23" s="344"/>
      <c r="U23" s="348"/>
      <c r="V23" s="1071">
        <f>año!S9</f>
        <v>18</v>
      </c>
      <c r="W23" s="1072"/>
      <c r="X23" s="1072"/>
      <c r="Y23" s="1052">
        <f>año!T9</f>
        <v>19</v>
      </c>
      <c r="Z23" s="1052"/>
      <c r="AA23" s="1052"/>
      <c r="AB23" s="1052">
        <f>año!U9</f>
        <v>20</v>
      </c>
      <c r="AC23" s="1052"/>
      <c r="AD23" s="1052"/>
      <c r="AE23" s="1072">
        <f>año!V9</f>
        <v>21</v>
      </c>
      <c r="AF23" s="1072"/>
      <c r="AG23" s="1072"/>
      <c r="AH23" s="1052">
        <f>año!W9</f>
        <v>22</v>
      </c>
      <c r="AI23" s="1052"/>
      <c r="AJ23" s="1052"/>
      <c r="AK23" s="1052">
        <f>año!X9</f>
        <v>23</v>
      </c>
      <c r="AL23" s="1052"/>
      <c r="AM23" s="1052"/>
      <c r="AN23" s="1064">
        <f>año!Y9</f>
        <v>24</v>
      </c>
      <c r="AO23" s="1064"/>
      <c r="AP23" s="1065"/>
    </row>
    <row r="24" spans="2:42" ht="9" customHeight="1">
      <c r="B24" s="346"/>
      <c r="C24" s="344"/>
      <c r="D24" s="344"/>
      <c r="E24" s="344"/>
      <c r="F24" s="344"/>
      <c r="G24" s="344"/>
      <c r="H24" s="344"/>
      <c r="I24" s="344"/>
      <c r="J24" s="344"/>
      <c r="K24" s="344"/>
      <c r="L24" s="344"/>
      <c r="M24" s="344"/>
      <c r="N24" s="344"/>
      <c r="O24" s="344"/>
      <c r="P24" s="344"/>
      <c r="Q24" s="344"/>
      <c r="R24" s="344"/>
      <c r="S24" s="344"/>
      <c r="T24" s="344"/>
      <c r="U24" s="348"/>
      <c r="V24" s="1071"/>
      <c r="W24" s="1072"/>
      <c r="X24" s="1072"/>
      <c r="Y24" s="1052"/>
      <c r="Z24" s="1052"/>
      <c r="AA24" s="1052"/>
      <c r="AB24" s="1052"/>
      <c r="AC24" s="1052"/>
      <c r="AD24" s="1052"/>
      <c r="AE24" s="1072"/>
      <c r="AF24" s="1072"/>
      <c r="AG24" s="1072"/>
      <c r="AH24" s="1052"/>
      <c r="AI24" s="1052"/>
      <c r="AJ24" s="1052"/>
      <c r="AK24" s="1052"/>
      <c r="AL24" s="1052"/>
      <c r="AM24" s="1052"/>
      <c r="AN24" s="1064"/>
      <c r="AO24" s="1064"/>
      <c r="AP24" s="1065"/>
    </row>
    <row r="25" spans="2:42" ht="9" customHeight="1">
      <c r="B25" s="346"/>
      <c r="C25" s="344"/>
      <c r="D25" s="344"/>
      <c r="E25" s="344"/>
      <c r="F25" s="344"/>
      <c r="G25" s="344"/>
      <c r="H25" s="344"/>
      <c r="I25" s="344"/>
      <c r="J25" s="344"/>
      <c r="K25" s="344"/>
      <c r="L25" s="344"/>
      <c r="M25" s="344"/>
      <c r="N25" s="344"/>
      <c r="O25" s="344"/>
      <c r="P25" s="344"/>
      <c r="Q25" s="344"/>
      <c r="R25" s="344"/>
      <c r="S25" s="344"/>
      <c r="T25" s="344"/>
      <c r="U25" s="348"/>
      <c r="V25" s="1071"/>
      <c r="W25" s="1072"/>
      <c r="X25" s="1072"/>
      <c r="Y25" s="1052"/>
      <c r="Z25" s="1052"/>
      <c r="AA25" s="1052"/>
      <c r="AB25" s="1052"/>
      <c r="AC25" s="1052"/>
      <c r="AD25" s="1052"/>
      <c r="AE25" s="1072"/>
      <c r="AF25" s="1072"/>
      <c r="AG25" s="1072"/>
      <c r="AH25" s="1052"/>
      <c r="AI25" s="1052"/>
      <c r="AJ25" s="1052"/>
      <c r="AK25" s="1052"/>
      <c r="AL25" s="1052"/>
      <c r="AM25" s="1052"/>
      <c r="AN25" s="1064"/>
      <c r="AO25" s="1064"/>
      <c r="AP25" s="1065"/>
    </row>
    <row r="26" spans="2:42" ht="9" customHeight="1">
      <c r="B26" s="346"/>
      <c r="C26" s="344"/>
      <c r="D26" s="344"/>
      <c r="E26" s="344"/>
      <c r="F26" s="344"/>
      <c r="G26" s="344"/>
      <c r="H26" s="344"/>
      <c r="I26" s="344"/>
      <c r="J26" s="344"/>
      <c r="K26" s="344"/>
      <c r="L26" s="344"/>
      <c r="M26" s="344"/>
      <c r="N26" s="344"/>
      <c r="O26" s="344"/>
      <c r="P26" s="344"/>
      <c r="Q26" s="344"/>
      <c r="R26" s="344"/>
      <c r="S26" s="344"/>
      <c r="T26" s="344"/>
      <c r="U26" s="348"/>
      <c r="V26" s="1049" t="str">
        <f>IF(V23&lt;&gt;" ",VLOOKUP(V23,$F$40:$H$70,2)," ")</f>
        <v>Cirilo</v>
      </c>
      <c r="W26" s="1050"/>
      <c r="X26" s="1050"/>
      <c r="Y26" s="1050" t="str">
        <f>IF(Y23&lt;&gt;" ",VLOOKUP(Y23,$F$40:$H$70,2)," ")</f>
        <v>José</v>
      </c>
      <c r="Z26" s="1050"/>
      <c r="AA26" s="1050"/>
      <c r="AB26" s="1050" t="str">
        <f>IF(AB23&lt;&gt;" ",VLOOKUP(AB23,$F$40:$H$70,2)," ")</f>
        <v>Alejandra</v>
      </c>
      <c r="AC26" s="1050"/>
      <c r="AD26" s="1050"/>
      <c r="AE26" s="1050" t="str">
        <f>IF(AE23&lt;&gt;" ",VLOOKUP(AE23,$F$40:$H$70,2)," ")</f>
        <v>Eugenia</v>
      </c>
      <c r="AF26" s="1050"/>
      <c r="AG26" s="1050"/>
      <c r="AH26" s="1050" t="str">
        <f>IF(AH23&lt;&gt;" ",VLOOKUP(AH23,$F$40:$H$70,2)," ")</f>
        <v>Bienvenido</v>
      </c>
      <c r="AI26" s="1050"/>
      <c r="AJ26" s="1050"/>
      <c r="AK26" s="1050" t="str">
        <f>IF(AK23&lt;&gt;" ",VLOOKUP(AK23,$F$40:$H$70,2)," ")</f>
        <v>Toribio</v>
      </c>
      <c r="AL26" s="1050"/>
      <c r="AM26" s="1050"/>
      <c r="AN26" s="1050" t="str">
        <f>IF(AN23&lt;&gt;" ",VLOOKUP(AN23,$F$40:$H$70,2)," ")</f>
        <v>Epigmenio</v>
      </c>
      <c r="AO26" s="1050"/>
      <c r="AP26" s="1066"/>
    </row>
    <row r="27" spans="2:42" ht="9" customHeight="1">
      <c r="B27" s="346"/>
      <c r="C27" s="344"/>
      <c r="D27" s="344"/>
      <c r="E27" s="344"/>
      <c r="F27" s="344"/>
      <c r="G27" s="344"/>
      <c r="H27" s="344"/>
      <c r="I27" s="344"/>
      <c r="J27" s="344"/>
      <c r="K27" s="344"/>
      <c r="L27" s="344"/>
      <c r="M27" s="344"/>
      <c r="N27" s="344"/>
      <c r="O27" s="344"/>
      <c r="P27" s="344"/>
      <c r="Q27" s="344"/>
      <c r="R27" s="344"/>
      <c r="S27" s="344"/>
      <c r="T27" s="344"/>
      <c r="U27" s="348"/>
      <c r="V27" s="1051">
        <f>año!S10</f>
        <v>25</v>
      </c>
      <c r="W27" s="1052"/>
      <c r="X27" s="1052"/>
      <c r="Y27" s="1052">
        <f>año!T10</f>
        <v>26</v>
      </c>
      <c r="Z27" s="1052"/>
      <c r="AA27" s="1052"/>
      <c r="AB27" s="1052">
        <f>año!U10</f>
        <v>27</v>
      </c>
      <c r="AC27" s="1052"/>
      <c r="AD27" s="1052"/>
      <c r="AE27" s="1052">
        <f>año!V10</f>
        <v>28</v>
      </c>
      <c r="AF27" s="1052"/>
      <c r="AG27" s="1052"/>
      <c r="AH27" s="1052">
        <f>año!W10</f>
        <v>29</v>
      </c>
      <c r="AI27" s="1052"/>
      <c r="AJ27" s="1052"/>
      <c r="AK27" s="1052">
        <f>año!X10</f>
        <v>30</v>
      </c>
      <c r="AL27" s="1052"/>
      <c r="AM27" s="1052"/>
      <c r="AN27" s="1064">
        <f>año!Y10</f>
        <v>31</v>
      </c>
      <c r="AO27" s="1064"/>
      <c r="AP27" s="1065"/>
    </row>
    <row r="28" spans="2:42" ht="9" customHeight="1">
      <c r="B28" s="346"/>
      <c r="C28" s="344"/>
      <c r="D28" s="344"/>
      <c r="E28" s="344"/>
      <c r="F28" s="344"/>
      <c r="G28" s="344"/>
      <c r="H28" s="344"/>
      <c r="I28" s="344"/>
      <c r="J28" s="344"/>
      <c r="K28" s="344"/>
      <c r="L28" s="344"/>
      <c r="M28" s="344"/>
      <c r="N28" s="344"/>
      <c r="O28" s="344"/>
      <c r="P28" s="344"/>
      <c r="Q28" s="344"/>
      <c r="R28" s="344"/>
      <c r="S28" s="344"/>
      <c r="T28" s="344"/>
      <c r="U28" s="348"/>
      <c r="V28" s="1051"/>
      <c r="W28" s="1052"/>
      <c r="X28" s="1052"/>
      <c r="Y28" s="1052"/>
      <c r="Z28" s="1052"/>
      <c r="AA28" s="1052"/>
      <c r="AB28" s="1052"/>
      <c r="AC28" s="1052"/>
      <c r="AD28" s="1052"/>
      <c r="AE28" s="1052"/>
      <c r="AF28" s="1052"/>
      <c r="AG28" s="1052"/>
      <c r="AH28" s="1052"/>
      <c r="AI28" s="1052"/>
      <c r="AJ28" s="1052"/>
      <c r="AK28" s="1052"/>
      <c r="AL28" s="1052"/>
      <c r="AM28" s="1052"/>
      <c r="AN28" s="1064"/>
      <c r="AO28" s="1064"/>
      <c r="AP28" s="1065"/>
    </row>
    <row r="29" spans="2:42" ht="9" customHeight="1">
      <c r="B29" s="346"/>
      <c r="C29" s="344"/>
      <c r="D29" s="344"/>
      <c r="E29" s="344"/>
      <c r="F29" s="344"/>
      <c r="G29" s="344"/>
      <c r="H29" s="344"/>
      <c r="I29" s="344"/>
      <c r="J29" s="344"/>
      <c r="K29" s="344"/>
      <c r="L29" s="344"/>
      <c r="M29" s="344"/>
      <c r="N29" s="344"/>
      <c r="O29" s="344"/>
      <c r="P29" s="344"/>
      <c r="Q29" s="344"/>
      <c r="R29" s="344"/>
      <c r="S29" s="344"/>
      <c r="T29" s="344"/>
      <c r="U29" s="348"/>
      <c r="V29" s="1051"/>
      <c r="W29" s="1052"/>
      <c r="X29" s="1052"/>
      <c r="Y29" s="1052"/>
      <c r="Z29" s="1052"/>
      <c r="AA29" s="1052"/>
      <c r="AB29" s="1052"/>
      <c r="AC29" s="1052"/>
      <c r="AD29" s="1052"/>
      <c r="AE29" s="1052"/>
      <c r="AF29" s="1052"/>
      <c r="AG29" s="1052"/>
      <c r="AH29" s="1052"/>
      <c r="AI29" s="1052"/>
      <c r="AJ29" s="1052"/>
      <c r="AK29" s="1052"/>
      <c r="AL29" s="1052"/>
      <c r="AM29" s="1052"/>
      <c r="AN29" s="1064"/>
      <c r="AO29" s="1064"/>
      <c r="AP29" s="1065"/>
    </row>
    <row r="30" spans="2:42" ht="9" customHeight="1">
      <c r="B30" s="177"/>
      <c r="C30" s="38"/>
      <c r="D30" s="38"/>
      <c r="E30" s="38"/>
      <c r="F30" s="38"/>
      <c r="G30" s="38"/>
      <c r="H30" s="38"/>
      <c r="I30" s="38"/>
      <c r="J30" s="38"/>
      <c r="K30" s="38"/>
      <c r="L30" s="38"/>
      <c r="M30" s="38"/>
      <c r="N30" s="38"/>
      <c r="O30" s="38"/>
      <c r="P30" s="38"/>
      <c r="Q30" s="38"/>
      <c r="R30" s="38"/>
      <c r="S30" s="38"/>
      <c r="T30" s="38"/>
      <c r="U30" s="178"/>
      <c r="V30" s="1049" t="str">
        <f>IF(V27&lt;&gt;" ",VLOOKUP(V27,$F$40:$H$70,2)," ")</f>
        <v>Anunciación</v>
      </c>
      <c r="W30" s="1050"/>
      <c r="X30" s="1050"/>
      <c r="Y30" s="1050" t="str">
        <f>IF(Y27&lt;&gt;" ",VLOOKUP(Y27,$F$40:$H$70,2)," ")</f>
        <v>Braulio</v>
      </c>
      <c r="Z30" s="1050"/>
      <c r="AA30" s="1050"/>
      <c r="AB30" s="1050" t="str">
        <f>IF(AB27&lt;&gt;" ",VLOOKUP(AB27,$F$40:$H$70,2)," ")</f>
        <v>Ruperto</v>
      </c>
      <c r="AC30" s="1050"/>
      <c r="AD30" s="1050"/>
      <c r="AE30" s="1050" t="str">
        <f>IF(AE27&lt;&gt;" ",VLOOKUP(AE27,$F$40:$H$70,2)," ")</f>
        <v>Sixto</v>
      </c>
      <c r="AF30" s="1050"/>
      <c r="AG30" s="1050"/>
      <c r="AH30" s="1050" t="str">
        <f>IF(AH27&lt;&gt;" ",VLOOKUP(AH27,$F$40:$H$70,2)," ")</f>
        <v>Jonás</v>
      </c>
      <c r="AI30" s="1050"/>
      <c r="AJ30" s="1050"/>
      <c r="AK30" s="1050" t="str">
        <f>IF(AK27&lt;&gt;" ",VLOOKUP(AK27,$F$40:$H$70,2)," ")</f>
        <v>Guillermo Tem.</v>
      </c>
      <c r="AL30" s="1050"/>
      <c r="AM30" s="1050"/>
      <c r="AN30" s="1050" t="str">
        <f>IF(AN27&lt;&gt;" ",VLOOKUP(AN27,$F$40:$H$70,2)," ")</f>
        <v>Benjamín/Balvina</v>
      </c>
      <c r="AO30" s="1050"/>
      <c r="AP30" s="1066"/>
    </row>
    <row r="31" spans="2:42" ht="10.5" customHeight="1">
      <c r="B31" s="1100" t="s">
        <v>994</v>
      </c>
      <c r="C31" s="1101"/>
      <c r="D31" s="1101"/>
      <c r="E31" s="1101"/>
      <c r="F31" s="1101"/>
      <c r="G31" s="1101"/>
      <c r="H31" s="1101"/>
      <c r="I31" s="1101"/>
      <c r="J31" s="1101"/>
      <c r="K31" s="1101"/>
      <c r="L31" s="1101"/>
      <c r="M31" s="1101"/>
      <c r="N31" s="1101"/>
      <c r="O31" s="1101"/>
      <c r="P31" s="1101"/>
      <c r="Q31" s="1101"/>
      <c r="R31" s="1101"/>
      <c r="S31" s="1101"/>
      <c r="T31" s="1101"/>
      <c r="U31" s="1102"/>
      <c r="V31" s="1051">
        <f>año!S11</f>
        <v>0</v>
      </c>
      <c r="W31" s="1052"/>
      <c r="X31" s="1052"/>
      <c r="Y31" s="1052" t="str">
        <f>año!T11</f>
        <v xml:space="preserve"> </v>
      </c>
      <c r="Z31" s="1052"/>
      <c r="AA31" s="1052"/>
      <c r="AB31" s="1183">
        <f>FEBRERO!$AP$8</f>
        <v>25</v>
      </c>
      <c r="AC31" s="1183"/>
      <c r="AD31" s="1183"/>
      <c r="AE31" s="189"/>
      <c r="AF31" s="194"/>
      <c r="AG31" s="192"/>
      <c r="AH31" s="194"/>
      <c r="AI31" s="194"/>
      <c r="AJ31" s="192"/>
      <c r="AK31" s="194"/>
      <c r="AL31" s="194"/>
      <c r="AM31" s="192"/>
      <c r="AN31" s="193"/>
      <c r="AO31" s="194"/>
      <c r="AP31" s="192"/>
    </row>
    <row r="32" spans="2:42" ht="10.5" customHeight="1">
      <c r="B32" s="1100"/>
      <c r="C32" s="1101"/>
      <c r="D32" s="1101"/>
      <c r="E32" s="1101"/>
      <c r="F32" s="1101"/>
      <c r="G32" s="1101"/>
      <c r="H32" s="1101"/>
      <c r="I32" s="1101"/>
      <c r="J32" s="1101"/>
      <c r="K32" s="1101"/>
      <c r="L32" s="1101"/>
      <c r="M32" s="1101"/>
      <c r="N32" s="1101"/>
      <c r="O32" s="1101"/>
      <c r="P32" s="1101"/>
      <c r="Q32" s="1101"/>
      <c r="R32" s="1101"/>
      <c r="S32" s="1101"/>
      <c r="T32" s="1101"/>
      <c r="U32" s="1102"/>
      <c r="V32" s="1051"/>
      <c r="W32" s="1052"/>
      <c r="X32" s="1052"/>
      <c r="Y32" s="1052"/>
      <c r="Z32" s="1052"/>
      <c r="AA32" s="1052"/>
      <c r="AB32" s="1183"/>
      <c r="AC32" s="1183"/>
      <c r="AD32" s="1183"/>
      <c r="AE32" s="189"/>
      <c r="AF32" s="194"/>
      <c r="AG32" s="192" t="s">
        <v>247</v>
      </c>
      <c r="AH32" s="194"/>
      <c r="AI32" s="194"/>
      <c r="AJ32" s="192" t="s">
        <v>247</v>
      </c>
      <c r="AK32" s="194"/>
      <c r="AL32" s="194"/>
      <c r="AM32" s="192" t="s">
        <v>247</v>
      </c>
      <c r="AN32" s="193"/>
      <c r="AO32" s="194"/>
      <c r="AP32" s="192" t="s">
        <v>247</v>
      </c>
    </row>
    <row r="33" spans="2:45" ht="10.5" customHeight="1">
      <c r="B33" s="1100"/>
      <c r="C33" s="782"/>
      <c r="D33" s="782"/>
      <c r="E33" s="782"/>
      <c r="F33" s="782"/>
      <c r="G33" s="782"/>
      <c r="H33" s="782"/>
      <c r="I33" s="782"/>
      <c r="J33" s="782"/>
      <c r="K33" s="782"/>
      <c r="L33" s="782"/>
      <c r="M33" s="782"/>
      <c r="N33" s="782"/>
      <c r="O33" s="782"/>
      <c r="P33" s="782"/>
      <c r="Q33" s="782"/>
      <c r="R33" s="782"/>
      <c r="S33" s="782"/>
      <c r="T33" s="782"/>
      <c r="U33" s="1102"/>
      <c r="V33" s="1051"/>
      <c r="W33" s="1052"/>
      <c r="X33" s="1052"/>
      <c r="Y33" s="1052"/>
      <c r="Z33" s="1052"/>
      <c r="AA33" s="1052"/>
      <c r="AB33" s="1183"/>
      <c r="AC33" s="1183"/>
      <c r="AD33" s="1183"/>
      <c r="AE33" s="189"/>
      <c r="AF33" s="1067">
        <f>luna!$O$65</f>
        <v>25</v>
      </c>
      <c r="AG33" s="1068"/>
      <c r="AH33" s="194"/>
      <c r="AI33" s="1073">
        <f>luna!$R$65</f>
        <v>2</v>
      </c>
      <c r="AJ33" s="1068"/>
      <c r="AK33" s="194"/>
      <c r="AL33" s="1073">
        <f>luna!$Q$65</f>
        <v>11</v>
      </c>
      <c r="AM33" s="1068"/>
      <c r="AN33" s="193"/>
      <c r="AO33" s="1067">
        <f>luna!$P$65</f>
        <v>18</v>
      </c>
      <c r="AP33" s="1068"/>
    </row>
    <row r="34" spans="2:45" ht="9" customHeight="1">
      <c r="B34" s="1103"/>
      <c r="C34" s="1104"/>
      <c r="D34" s="1104"/>
      <c r="E34" s="1104"/>
      <c r="F34" s="1104"/>
      <c r="G34" s="1104"/>
      <c r="H34" s="1104"/>
      <c r="I34" s="1104"/>
      <c r="J34" s="1104"/>
      <c r="K34" s="1104"/>
      <c r="L34" s="1104"/>
      <c r="M34" s="1104"/>
      <c r="N34" s="1104"/>
      <c r="O34" s="1104"/>
      <c r="P34" s="1104"/>
      <c r="Q34" s="1104"/>
      <c r="R34" s="1104"/>
      <c r="S34" s="1104"/>
      <c r="T34" s="1104"/>
      <c r="U34" s="1105"/>
      <c r="V34" s="1186" t="str">
        <f>FEBRERO!$AK$8</f>
        <v>LUNA LLENA PASCUAL</v>
      </c>
      <c r="W34" s="1187"/>
      <c r="X34" s="1187"/>
      <c r="Y34" s="1188"/>
      <c r="Z34" s="1188"/>
      <c r="AA34" s="1188"/>
      <c r="AB34" s="1188"/>
      <c r="AC34" s="1189"/>
      <c r="AD34" s="1190"/>
      <c r="AE34" s="1078" t="s">
        <v>597</v>
      </c>
      <c r="AF34" s="1079"/>
      <c r="AG34" s="1080"/>
      <c r="AH34" s="1081" t="s">
        <v>598</v>
      </c>
      <c r="AI34" s="1081"/>
      <c r="AJ34" s="1081"/>
      <c r="AK34" s="1081" t="s">
        <v>599</v>
      </c>
      <c r="AL34" s="1081"/>
      <c r="AM34" s="1081"/>
      <c r="AN34" s="1081" t="s">
        <v>600</v>
      </c>
      <c r="AO34" s="1081"/>
      <c r="AP34" s="1081"/>
    </row>
    <row r="35" spans="2:45" ht="13.8" thickBot="1">
      <c r="B35" s="1177">
        <f>B36-4</f>
        <v>45332</v>
      </c>
      <c r="C35" s="1178"/>
      <c r="D35" s="406" t="s">
        <v>384</v>
      </c>
      <c r="E35" s="406"/>
      <c r="F35" s="406"/>
      <c r="G35" s="406"/>
      <c r="H35" s="406"/>
      <c r="I35" s="634">
        <v>19</v>
      </c>
      <c r="J35" s="406" t="s">
        <v>385</v>
      </c>
      <c r="K35" s="406"/>
      <c r="L35" s="406"/>
      <c r="M35" s="406"/>
      <c r="N35" s="406"/>
      <c r="O35" s="655">
        <f>DAY(AA39-3)</f>
        <v>28</v>
      </c>
      <c r="P35" s="406" t="s">
        <v>386</v>
      </c>
      <c r="Q35" s="406"/>
      <c r="R35" s="406"/>
      <c r="S35" s="406"/>
      <c r="T35" s="636">
        <f>IF(AD38="NO",AD39,AD38)</f>
        <v>31</v>
      </c>
      <c r="U35" s="406" t="s">
        <v>388</v>
      </c>
      <c r="V35" s="406"/>
      <c r="W35" s="406"/>
      <c r="X35" s="406"/>
      <c r="Y35" s="1191">
        <f>FEBRERO!$T$37</f>
        <v>45382</v>
      </c>
      <c r="Z35" s="1191"/>
      <c r="AA35" s="406" t="s">
        <v>381</v>
      </c>
      <c r="AB35" s="1184">
        <f>AA39-3</f>
        <v>45379</v>
      </c>
      <c r="AC35" s="1185"/>
      <c r="AD35" s="406" t="s">
        <v>222</v>
      </c>
      <c r="AE35" s="1168">
        <f>AA39+8</f>
        <v>45390</v>
      </c>
      <c r="AF35" s="1169"/>
      <c r="AG35" s="406" t="s">
        <v>382</v>
      </c>
      <c r="AH35" s="406"/>
      <c r="AI35" s="406"/>
      <c r="AJ35" s="406"/>
      <c r="AK35" s="163"/>
      <c r="AL35" s="163"/>
      <c r="AM35" s="163"/>
      <c r="AN35" s="163"/>
      <c r="AO35" s="163"/>
      <c r="AP35" s="164"/>
    </row>
    <row r="36" spans="2:45" ht="16.2" thickBot="1">
      <c r="B36" s="1177">
        <f>T38</f>
        <v>45336</v>
      </c>
      <c r="C36" s="1178"/>
      <c r="D36" s="408" t="s">
        <v>70</v>
      </c>
      <c r="E36" s="408"/>
      <c r="F36" s="408"/>
      <c r="G36" s="408"/>
      <c r="H36" s="408"/>
      <c r="I36" s="654">
        <f>DAY(AA39-7)</f>
        <v>24</v>
      </c>
      <c r="J36" s="408" t="s">
        <v>383</v>
      </c>
      <c r="K36" s="408"/>
      <c r="L36" s="408"/>
      <c r="M36" s="408"/>
      <c r="N36" s="408"/>
      <c r="O36" s="634">
        <f>DAY(AA39-2)</f>
        <v>29</v>
      </c>
      <c r="P36" s="408" t="s">
        <v>387</v>
      </c>
      <c r="Q36" s="408"/>
      <c r="R36" s="408"/>
      <c r="S36" s="408"/>
      <c r="T36" s="632">
        <f>IF(T35=31,1,T35+1)</f>
        <v>1</v>
      </c>
      <c r="U36" s="408" t="s">
        <v>389</v>
      </c>
      <c r="V36" s="408"/>
      <c r="W36" s="408"/>
      <c r="X36" s="408"/>
      <c r="Y36" s="165"/>
      <c r="Z36" s="165"/>
      <c r="AA36" s="1089" t="s">
        <v>412</v>
      </c>
      <c r="AB36" s="1090"/>
      <c r="AC36" s="1090"/>
      <c r="AD36" s="1090"/>
      <c r="AE36" s="1090"/>
      <c r="AF36" s="1090"/>
      <c r="AG36" s="1091"/>
      <c r="AH36" s="165"/>
      <c r="AI36" s="1092" t="s">
        <v>411</v>
      </c>
      <c r="AJ36" s="1093"/>
      <c r="AK36" s="1093"/>
      <c r="AL36" s="1093"/>
      <c r="AM36" s="1093"/>
      <c r="AN36" s="1093"/>
      <c r="AO36" s="1094"/>
      <c r="AP36" s="166"/>
    </row>
    <row r="37" spans="2:45" ht="13.8" customHeight="1" thickBot="1">
      <c r="B37" s="1181">
        <f>año!$C$35</f>
        <v>45355</v>
      </c>
      <c r="C37" s="1182"/>
      <c r="D37" s="617" t="s">
        <v>875</v>
      </c>
      <c r="E37" s="617"/>
      <c r="F37" s="617"/>
      <c r="G37" s="617"/>
      <c r="H37" s="617"/>
      <c r="I37" s="702"/>
      <c r="J37" s="702"/>
      <c r="K37" s="662" t="s">
        <v>990</v>
      </c>
      <c r="L37" s="617"/>
      <c r="M37" s="617"/>
      <c r="N37" s="617"/>
      <c r="O37" s="617"/>
      <c r="P37" s="656" t="s">
        <v>750</v>
      </c>
      <c r="Q37" s="617"/>
      <c r="R37" s="617"/>
      <c r="S37" s="657">
        <f>AO3</f>
        <v>6</v>
      </c>
      <c r="T37" s="645">
        <f>DAY(AE35)</f>
        <v>8</v>
      </c>
      <c r="U37" s="642" t="s">
        <v>390</v>
      </c>
      <c r="V37" s="617"/>
      <c r="W37" s="617"/>
      <c r="X37" s="617"/>
      <c r="Y37" s="168"/>
      <c r="Z37" s="168"/>
      <c r="AA37" s="168"/>
      <c r="AB37" s="168"/>
      <c r="AC37" s="168"/>
      <c r="AD37" s="168"/>
      <c r="AE37" s="168"/>
      <c r="AF37" s="168"/>
      <c r="AG37" s="168"/>
      <c r="AH37" s="168"/>
      <c r="AI37" s="168"/>
      <c r="AJ37" s="168"/>
      <c r="AK37" s="168"/>
      <c r="AL37" s="168"/>
      <c r="AM37" s="168"/>
      <c r="AN37" s="168"/>
      <c r="AO37" s="168"/>
      <c r="AP37" s="169"/>
    </row>
    <row r="38" spans="2:45" hidden="1">
      <c r="M38">
        <f>año!AJ4</f>
        <v>8</v>
      </c>
      <c r="N38">
        <f>año!AK4</f>
        <v>4</v>
      </c>
      <c r="O38">
        <f>año!AL4</f>
        <v>0</v>
      </c>
      <c r="P38" t="str">
        <f>año!AM4</f>
        <v>Dijous Sant</v>
      </c>
      <c r="T38" s="1176">
        <f>año!AJ8</f>
        <v>45336</v>
      </c>
      <c r="U38" s="1176"/>
      <c r="V38">
        <f>año!AL8</f>
        <v>0</v>
      </c>
      <c r="W38" t="str">
        <f>año!AM8</f>
        <v>Cendra</v>
      </c>
      <c r="X38">
        <f>año!AN8</f>
        <v>0</v>
      </c>
      <c r="AD38">
        <f>FEBRERO!AI38</f>
        <v>31</v>
      </c>
      <c r="AE38">
        <f>FEBRERO!AJ38</f>
        <v>29</v>
      </c>
      <c r="AF38">
        <f>FEBRERO!AK38</f>
        <v>0</v>
      </c>
      <c r="AG38" t="str">
        <f>FEBRERO!AL38</f>
        <v>Pasqua</v>
      </c>
      <c r="AJ38">
        <f>FEBRERO!AO38</f>
        <v>14</v>
      </c>
      <c r="AM38">
        <f>FEBRERO!$AO$38</f>
        <v>14</v>
      </c>
    </row>
    <row r="39" spans="2:45" hidden="1">
      <c r="B39" s="251" t="str">
        <f>IF(B40=2,DAY(B37),"no")</f>
        <v>no</v>
      </c>
      <c r="C39" s="251">
        <f>IF(B40=2,"no",DAY(B37))</f>
        <v>4</v>
      </c>
      <c r="M39" t="str">
        <f>año!AJ5</f>
        <v>NO</v>
      </c>
      <c r="T39">
        <f>año!AJ9</f>
        <v>14</v>
      </c>
      <c r="U39">
        <f>año!AK9</f>
        <v>2</v>
      </c>
      <c r="V39">
        <f>año!AL9</f>
        <v>0</v>
      </c>
      <c r="W39">
        <f>año!AM9</f>
        <v>0</v>
      </c>
      <c r="X39">
        <f>año!AN9</f>
        <v>0</v>
      </c>
      <c r="Y39">
        <f>calendario!$AI$11</f>
        <v>1</v>
      </c>
      <c r="AA39" s="1149">
        <f>calendario!$AA$34</f>
        <v>45382</v>
      </c>
      <c r="AB39" s="1149"/>
      <c r="AD39" t="str">
        <f>FEBRERO!AI39</f>
        <v>NO</v>
      </c>
      <c r="AE39" t="str">
        <f>FEBRERO!AJ39</f>
        <v/>
      </c>
      <c r="AF39">
        <f>FEBRERO!AK39</f>
        <v>0</v>
      </c>
      <c r="AG39" s="1197">
        <f>FEBRERO!AL39</f>
        <v>45382</v>
      </c>
      <c r="AH39" s="1198"/>
    </row>
    <row r="40" spans="2:45" ht="14.4" hidden="1">
      <c r="B40">
        <f>MONTH(B37)</f>
        <v>3</v>
      </c>
      <c r="F40" s="175">
        <v>1</v>
      </c>
      <c r="G40" s="175" t="s">
        <v>440</v>
      </c>
      <c r="M40">
        <f>año!AJ6</f>
        <v>8</v>
      </c>
      <c r="T40">
        <f>año!AJ10</f>
        <v>14</v>
      </c>
      <c r="U40">
        <f>año!AK10</f>
        <v>0</v>
      </c>
      <c r="V40">
        <f>año!AL10</f>
        <v>0</v>
      </c>
      <c r="W40">
        <f>año!AM10</f>
        <v>0</v>
      </c>
      <c r="X40">
        <f>año!AN10</f>
        <v>0</v>
      </c>
      <c r="AS40" s="328"/>
    </row>
    <row r="41" spans="2:45" ht="14.4" hidden="1">
      <c r="C41" s="176"/>
      <c r="F41" s="175">
        <v>2</v>
      </c>
      <c r="G41" s="175" t="s">
        <v>614</v>
      </c>
      <c r="M41" t="str">
        <f>año!AJ7</f>
        <v>NO</v>
      </c>
      <c r="T41" t="str">
        <f>año!AJ11</f>
        <v>NO</v>
      </c>
      <c r="U41">
        <f>año!AK11</f>
        <v>0</v>
      </c>
      <c r="V41">
        <f>año!AL11</f>
        <v>0</v>
      </c>
      <c r="W41">
        <f>año!AM11</f>
        <v>0</v>
      </c>
      <c r="X41">
        <f>año!AN11</f>
        <v>0</v>
      </c>
      <c r="AA41" s="930" t="str">
        <f>año!AJ20</f>
        <v>SANT PERE</v>
      </c>
      <c r="AB41" s="930"/>
      <c r="AC41" s="930"/>
      <c r="AD41" s="930"/>
      <c r="AE41" s="930"/>
      <c r="AF41" s="930"/>
      <c r="AH41" s="215">
        <f>ABRIL!Q45</f>
        <v>12</v>
      </c>
      <c r="AI41" s="215" t="str">
        <f>ABRIL!R45</f>
        <v>ASCENSIÓ</v>
      </c>
      <c r="AJ41" s="215"/>
      <c r="AK41" s="215"/>
      <c r="AL41" s="215"/>
      <c r="AM41" s="215" t="str">
        <f>ABRIL!V45</f>
        <v>CORPUS</v>
      </c>
      <c r="AN41" s="215"/>
      <c r="AS41" s="328"/>
    </row>
    <row r="42" spans="2:45" ht="14.4" hidden="1">
      <c r="F42" s="175">
        <v>3</v>
      </c>
      <c r="G42" s="175" t="s">
        <v>615</v>
      </c>
      <c r="L42" s="34" t="str">
        <f>año!AO2</f>
        <v>1erVac</v>
      </c>
      <c r="M42" s="34">
        <f>año!AP2</f>
        <v>28</v>
      </c>
      <c r="N42" s="34">
        <f>año!AQ2</f>
        <v>28</v>
      </c>
      <c r="O42" s="34">
        <f>año!AR2</f>
        <v>1</v>
      </c>
      <c r="P42" s="34" t="str">
        <f>año!AS2</f>
        <v>no</v>
      </c>
      <c r="Q42" s="34" t="str">
        <f>año!AT2</f>
        <v>no</v>
      </c>
      <c r="R42" t="str">
        <f>año!AU2</f>
        <v>no</v>
      </c>
      <c r="S42">
        <f>año!AV2</f>
        <v>0</v>
      </c>
      <c r="Z42" s="1160">
        <f>año!AJ21</f>
        <v>45413</v>
      </c>
      <c r="AA42" s="1147"/>
      <c r="AB42" s="1147"/>
      <c r="AC42">
        <f>año!AL21</f>
        <v>3</v>
      </c>
      <c r="AD42">
        <f>año!AM21</f>
        <v>4</v>
      </c>
      <c r="AH42" s="215" t="str">
        <f>ABRIL!Q46</f>
        <v>NO</v>
      </c>
      <c r="AI42" s="1123">
        <f>ABRIL!R46</f>
        <v>45424</v>
      </c>
      <c r="AJ42" s="930"/>
      <c r="AK42" s="215"/>
      <c r="AL42" s="215"/>
      <c r="AM42" s="215" t="str">
        <f>ABRIL!V46</f>
        <v>NO</v>
      </c>
      <c r="AN42" s="215"/>
      <c r="AS42" s="328"/>
    </row>
    <row r="43" spans="2:45" ht="14.4" hidden="1">
      <c r="F43" s="175">
        <v>4</v>
      </c>
      <c r="G43" s="175" t="s">
        <v>441</v>
      </c>
      <c r="L43" s="34" t="str">
        <f>año!AO3</f>
        <v>Darrer</v>
      </c>
      <c r="M43" s="34">
        <f>año!AP3</f>
        <v>31</v>
      </c>
      <c r="N43" s="34">
        <f>año!AQ3</f>
        <v>31</v>
      </c>
      <c r="O43" s="34">
        <f>año!AR3</f>
        <v>8</v>
      </c>
      <c r="P43" s="34" t="str">
        <f>año!AS3</f>
        <v>no</v>
      </c>
      <c r="Q43" s="34" t="str">
        <f>año!AT3</f>
        <v>no</v>
      </c>
      <c r="R43" t="str">
        <f>año!AU3</f>
        <v>no</v>
      </c>
      <c r="S43">
        <f>año!AV3</f>
        <v>0</v>
      </c>
      <c r="Z43" s="1147" t="str">
        <f>año!AJ22</f>
        <v>PRIMER DIA</v>
      </c>
      <c r="AA43" s="1147"/>
      <c r="AB43" s="1147"/>
      <c r="AC43">
        <f>año!AL22</f>
        <v>4</v>
      </c>
      <c r="AD43">
        <f>año!AM22</f>
        <v>0</v>
      </c>
      <c r="AE43">
        <f>año!AN22</f>
        <v>4</v>
      </c>
      <c r="AF43">
        <f>año!AO22</f>
        <v>4</v>
      </c>
      <c r="AH43" s="215"/>
      <c r="AI43" s="215">
        <f>DAY(AI42)</f>
        <v>12</v>
      </c>
      <c r="AJ43" s="215"/>
      <c r="AK43" s="215"/>
      <c r="AL43" s="215"/>
      <c r="AM43" s="215">
        <f>ABRIL!V47</f>
        <v>2</v>
      </c>
      <c r="AN43" s="215"/>
      <c r="AS43" s="328"/>
    </row>
    <row r="44" spans="2:45" ht="14.4" hidden="1">
      <c r="F44" s="175">
        <v>5</v>
      </c>
      <c r="G44" s="175" t="s">
        <v>616</v>
      </c>
      <c r="Z44" s="1147" t="str">
        <f>año!AJ23</f>
        <v>SEGON DIA</v>
      </c>
      <c r="AA44" s="1147"/>
      <c r="AB44" s="1147"/>
      <c r="AC44">
        <f>año!AL23</f>
        <v>5</v>
      </c>
      <c r="AD44">
        <f>año!AM23</f>
        <v>0</v>
      </c>
      <c r="AE44">
        <f>año!AN23</f>
        <v>5</v>
      </c>
      <c r="AS44" s="328"/>
    </row>
    <row r="45" spans="2:45" ht="14.4" hidden="1">
      <c r="F45" s="175">
        <v>6</v>
      </c>
      <c r="G45" s="175" t="s">
        <v>442</v>
      </c>
      <c r="AD45">
        <f>año!AM24</f>
        <v>5</v>
      </c>
      <c r="AS45" s="328"/>
    </row>
    <row r="46" spans="2:45" ht="14.4" hidden="1">
      <c r="F46" s="175">
        <v>7</v>
      </c>
      <c r="G46" s="175" t="s">
        <v>443</v>
      </c>
      <c r="AS46" s="328"/>
    </row>
    <row r="47" spans="2:45" ht="14.4" hidden="1">
      <c r="F47" s="175">
        <v>8</v>
      </c>
      <c r="G47" s="215" t="s">
        <v>944</v>
      </c>
      <c r="AS47" s="328"/>
    </row>
    <row r="48" spans="2:45" ht="14.4" hidden="1">
      <c r="F48" s="175">
        <v>9</v>
      </c>
      <c r="G48" s="175" t="s">
        <v>444</v>
      </c>
      <c r="AS48" s="328"/>
    </row>
    <row r="49" spans="6:45" ht="14.4" hidden="1">
      <c r="F49" s="175">
        <v>10</v>
      </c>
      <c r="G49" s="215" t="s">
        <v>945</v>
      </c>
      <c r="AS49" s="328"/>
    </row>
    <row r="50" spans="6:45" ht="14.4" hidden="1">
      <c r="F50" s="175">
        <v>11</v>
      </c>
      <c r="G50" s="175" t="s">
        <v>473</v>
      </c>
      <c r="AS50" s="328"/>
    </row>
    <row r="51" spans="6:45" ht="14.4" hidden="1">
      <c r="F51" s="175">
        <v>12</v>
      </c>
      <c r="G51" s="215" t="s">
        <v>946</v>
      </c>
      <c r="AS51" s="328"/>
    </row>
    <row r="52" spans="6:45" ht="14.4" hidden="1">
      <c r="F52" s="175">
        <v>13</v>
      </c>
      <c r="G52" s="175" t="s">
        <v>446</v>
      </c>
      <c r="AS52" s="328"/>
    </row>
    <row r="53" spans="6:45" ht="14.4" hidden="1">
      <c r="F53" s="175">
        <v>14</v>
      </c>
      <c r="G53" s="175" t="s">
        <v>447</v>
      </c>
      <c r="AS53" s="328"/>
    </row>
    <row r="54" spans="6:45" ht="14.4" hidden="1">
      <c r="F54" s="175">
        <v>15</v>
      </c>
      <c r="G54" s="175" t="s">
        <v>448</v>
      </c>
      <c r="AS54" s="328"/>
    </row>
    <row r="55" spans="6:45" ht="14.4" hidden="1">
      <c r="F55" s="175">
        <v>16</v>
      </c>
      <c r="G55" s="215" t="s">
        <v>947</v>
      </c>
      <c r="AS55" s="328"/>
    </row>
    <row r="56" spans="6:45" ht="14.4" hidden="1">
      <c r="F56" s="175">
        <v>17</v>
      </c>
      <c r="G56" s="175" t="s">
        <v>449</v>
      </c>
      <c r="AS56" s="328"/>
    </row>
    <row r="57" spans="6:45" ht="14.4" hidden="1">
      <c r="F57" s="175">
        <v>18</v>
      </c>
      <c r="G57" s="175" t="s">
        <v>617</v>
      </c>
      <c r="AS57" s="328"/>
    </row>
    <row r="58" spans="6:45" ht="14.4" hidden="1">
      <c r="F58" s="175">
        <v>19</v>
      </c>
      <c r="G58" s="175" t="s">
        <v>450</v>
      </c>
      <c r="AS58" s="328"/>
    </row>
    <row r="59" spans="6:45" ht="14.4" hidden="1">
      <c r="F59" s="175">
        <v>20</v>
      </c>
      <c r="G59" s="215" t="s">
        <v>894</v>
      </c>
      <c r="AS59" s="328"/>
    </row>
    <row r="60" spans="6:45" ht="14.4" hidden="1">
      <c r="F60" s="175">
        <v>21</v>
      </c>
      <c r="G60" s="215" t="s">
        <v>893</v>
      </c>
      <c r="AS60" s="328"/>
    </row>
    <row r="61" spans="6:45" ht="14.4" hidden="1">
      <c r="F61" s="175">
        <v>22</v>
      </c>
      <c r="G61" s="175" t="s">
        <v>452</v>
      </c>
      <c r="AS61" s="328"/>
    </row>
    <row r="62" spans="6:45" ht="14.4" hidden="1">
      <c r="F62" s="175">
        <v>23</v>
      </c>
      <c r="G62" s="175" t="s">
        <v>618</v>
      </c>
      <c r="AS62" s="328"/>
    </row>
    <row r="63" spans="6:45" ht="14.4" hidden="1">
      <c r="F63" s="175">
        <v>24</v>
      </c>
      <c r="G63" s="175" t="s">
        <v>619</v>
      </c>
      <c r="AS63" s="328"/>
    </row>
    <row r="64" spans="6:45" ht="14.4" hidden="1">
      <c r="F64" s="175">
        <v>25</v>
      </c>
      <c r="G64" s="175" t="s">
        <v>620</v>
      </c>
      <c r="AS64" s="328"/>
    </row>
    <row r="65" spans="6:45" ht="14.4" hidden="1">
      <c r="F65" s="175">
        <v>26</v>
      </c>
      <c r="G65" s="175" t="s">
        <v>453</v>
      </c>
      <c r="AS65" s="328"/>
    </row>
    <row r="66" spans="6:45" ht="14.4" hidden="1">
      <c r="F66" s="175">
        <v>27</v>
      </c>
      <c r="G66" s="175" t="s">
        <v>621</v>
      </c>
      <c r="AS66" s="328"/>
    </row>
    <row r="67" spans="6:45" ht="14.4" hidden="1">
      <c r="F67" s="175">
        <v>28</v>
      </c>
      <c r="G67" s="175" t="s">
        <v>622</v>
      </c>
      <c r="AS67" s="328"/>
    </row>
    <row r="68" spans="6:45" ht="14.4" hidden="1">
      <c r="F68" s="175">
        <v>29</v>
      </c>
      <c r="G68" s="175" t="s">
        <v>455</v>
      </c>
      <c r="AS68" s="328"/>
    </row>
    <row r="69" spans="6:45" ht="14.4" hidden="1">
      <c r="F69" s="175">
        <v>30</v>
      </c>
      <c r="G69" s="175" t="s">
        <v>623</v>
      </c>
      <c r="AS69" s="328"/>
    </row>
    <row r="70" spans="6:45" ht="14.4" hidden="1">
      <c r="F70" s="175">
        <v>31</v>
      </c>
      <c r="G70" s="175" t="s">
        <v>624</v>
      </c>
      <c r="AS70" s="328"/>
    </row>
  </sheetData>
  <customSheetViews>
    <customSheetView guid="{93FD35E9-1E2C-4BB9-BB5F-2E73C17EC4AF}" scale="115" showGridLines="0" showRowCol="0" outlineSymbols="0" zeroValues="0" hiddenRows="1">
      <selection activeCell="V1" sqref="V1:Z1"/>
      <pageMargins left="0.75" right="0.75" top="1" bottom="1" header="0" footer="0"/>
      <pageSetup paperSize="9" orientation="portrait" r:id="rId1"/>
      <headerFooter alignWithMargins="0"/>
    </customSheetView>
  </customSheetViews>
  <mergeCells count="114">
    <mergeCell ref="B31:U34"/>
    <mergeCell ref="B1:U4"/>
    <mergeCell ref="AI42:AJ42"/>
    <mergeCell ref="AG39:AH39"/>
    <mergeCell ref="Z44:AB44"/>
    <mergeCell ref="AA41:AF41"/>
    <mergeCell ref="Z42:AB42"/>
    <mergeCell ref="Z43:AB43"/>
    <mergeCell ref="AK15:AM17"/>
    <mergeCell ref="Y19:AA21"/>
    <mergeCell ref="AB19:AD21"/>
    <mergeCell ref="AF33:AG33"/>
    <mergeCell ref="AH19:AJ21"/>
    <mergeCell ref="AI36:AO36"/>
    <mergeCell ref="AH27:AJ29"/>
    <mergeCell ref="AK27:AM29"/>
    <mergeCell ref="AN27:AP29"/>
    <mergeCell ref="AH30:AJ30"/>
    <mergeCell ref="AN34:AP34"/>
    <mergeCell ref="AI33:AJ33"/>
    <mergeCell ref="AL33:AM33"/>
    <mergeCell ref="AE18:AG18"/>
    <mergeCell ref="AH18:AJ18"/>
    <mergeCell ref="AK18:AM18"/>
    <mergeCell ref="AH34:AJ34"/>
    <mergeCell ref="AH22:AJ22"/>
    <mergeCell ref="AE22:AG22"/>
    <mergeCell ref="AK34:AM34"/>
    <mergeCell ref="AE30:AG30"/>
    <mergeCell ref="AE34:AG34"/>
    <mergeCell ref="AO33:AP33"/>
    <mergeCell ref="AK30:AM30"/>
    <mergeCell ref="AH26:AJ26"/>
    <mergeCell ref="AK26:AM26"/>
    <mergeCell ref="AH23:AJ25"/>
    <mergeCell ref="AK23:AM25"/>
    <mergeCell ref="AN23:AP25"/>
    <mergeCell ref="AN30:AP30"/>
    <mergeCell ref="AA39:AB39"/>
    <mergeCell ref="AB35:AC35"/>
    <mergeCell ref="AE35:AF35"/>
    <mergeCell ref="AA36:AG36"/>
    <mergeCell ref="Y23:AA25"/>
    <mergeCell ref="AB23:AD25"/>
    <mergeCell ref="AB26:AD26"/>
    <mergeCell ref="AB22:AD22"/>
    <mergeCell ref="V34:AD34"/>
    <mergeCell ref="Y35:Z35"/>
    <mergeCell ref="AJ1:AN1"/>
    <mergeCell ref="V11:X13"/>
    <mergeCell ref="Y11:AA13"/>
    <mergeCell ref="AB11:AD13"/>
    <mergeCell ref="AE11:AG13"/>
    <mergeCell ref="AH11:AJ13"/>
    <mergeCell ref="AK11:AM13"/>
    <mergeCell ref="AN11:AP13"/>
    <mergeCell ref="AO1:AP1"/>
    <mergeCell ref="AD2:AH4"/>
    <mergeCell ref="AD5:AH7"/>
    <mergeCell ref="AH10:AJ10"/>
    <mergeCell ref="AK10:AM10"/>
    <mergeCell ref="AN10:AP10"/>
    <mergeCell ref="V10:X10"/>
    <mergeCell ref="Y10:AA10"/>
    <mergeCell ref="AB10:AD10"/>
    <mergeCell ref="AE10:AG10"/>
    <mergeCell ref="AK8:AO8"/>
    <mergeCell ref="T38:U38"/>
    <mergeCell ref="V31:X33"/>
    <mergeCell ref="Y31:AA33"/>
    <mergeCell ref="B35:C35"/>
    <mergeCell ref="B36:C36"/>
    <mergeCell ref="V27:X29"/>
    <mergeCell ref="V1:Z1"/>
    <mergeCell ref="AA1:AB1"/>
    <mergeCell ref="AB14:AD14"/>
    <mergeCell ref="V26:X26"/>
    <mergeCell ref="Y26:AA26"/>
    <mergeCell ref="V22:X22"/>
    <mergeCell ref="Y22:AA22"/>
    <mergeCell ref="V23:X25"/>
    <mergeCell ref="V30:X30"/>
    <mergeCell ref="V15:X17"/>
    <mergeCell ref="B37:C37"/>
    <mergeCell ref="Y30:AA30"/>
    <mergeCell ref="AB30:AD30"/>
    <mergeCell ref="AB31:AD33"/>
    <mergeCell ref="V14:X14"/>
    <mergeCell ref="V19:X21"/>
    <mergeCell ref="V18:X18"/>
    <mergeCell ref="Y18:AA18"/>
    <mergeCell ref="AN18:AP18"/>
    <mergeCell ref="Y15:AA17"/>
    <mergeCell ref="Y27:AA29"/>
    <mergeCell ref="AK19:AM21"/>
    <mergeCell ref="AN19:AP21"/>
    <mergeCell ref="AE23:AG25"/>
    <mergeCell ref="AE26:AG26"/>
    <mergeCell ref="AN14:AP14"/>
    <mergeCell ref="AN15:AP17"/>
    <mergeCell ref="AK14:AM14"/>
    <mergeCell ref="AH14:AJ14"/>
    <mergeCell ref="AH15:AJ17"/>
    <mergeCell ref="AK22:AM22"/>
    <mergeCell ref="AN22:AP22"/>
    <mergeCell ref="AB15:AD17"/>
    <mergeCell ref="AE14:AG14"/>
    <mergeCell ref="AE15:AG17"/>
    <mergeCell ref="AB27:AD29"/>
    <mergeCell ref="AB18:AD18"/>
    <mergeCell ref="AN26:AP26"/>
    <mergeCell ref="AE19:AG21"/>
    <mergeCell ref="Y14:AA14"/>
    <mergeCell ref="AE27:AG29"/>
  </mergeCells>
  <phoneticPr fontId="24" type="noConversion"/>
  <conditionalFormatting sqref="X3:X7">
    <cfRule type="cellIs" dxfId="36" priority="8" stopIfTrue="1" operator="equal">
      <formula>$AM$38</formula>
    </cfRule>
  </conditionalFormatting>
  <conditionalFormatting sqref="AH19:AP21 V23:AG25">
    <cfRule type="cellIs" dxfId="35" priority="3" stopIfTrue="1" operator="equal">
      <formula>19</formula>
    </cfRule>
  </conditionalFormatting>
  <conditionalFormatting sqref="AN23:AP29">
    <cfRule type="cellIs" dxfId="34" priority="7" stopIfTrue="1" operator="equal">
      <formula>$AD$38</formula>
    </cfRule>
  </conditionalFormatting>
  <conditionalFormatting sqref="AN3:AN6">
    <cfRule type="cellIs" dxfId="33" priority="14" stopIfTrue="1" operator="equal">
      <formula>$AE$39</formula>
    </cfRule>
  </conditionalFormatting>
  <conditionalFormatting sqref="AP3:AP6">
    <cfRule type="cellIs" dxfId="32" priority="6" stopIfTrue="1" operator="equal">
      <formula>$AD$39</formula>
    </cfRule>
  </conditionalFormatting>
  <conditionalFormatting sqref="AB11:AD13 AB15:AD17">
    <cfRule type="cellIs" dxfId="31" priority="16" stopIfTrue="1" operator="equal">
      <formula>$T$41</formula>
    </cfRule>
  </conditionalFormatting>
  <conditionalFormatting sqref="V23:X33">
    <cfRule type="cellIs" dxfId="30" priority="10" stopIfTrue="1" operator="equal">
      <formula>$T$36</formula>
    </cfRule>
  </conditionalFormatting>
  <conditionalFormatting sqref="AK7:AP7 AJ8">
    <cfRule type="cellIs" dxfId="29" priority="5" stopIfTrue="1" operator="equal">
      <formula>$AC$43</formula>
    </cfRule>
  </conditionalFormatting>
  <conditionalFormatting sqref="AH23:AJ29">
    <cfRule type="cellIs" dxfId="28" priority="31" stopIfTrue="1" operator="equal">
      <formula>$AE$38</formula>
    </cfRule>
  </conditionalFormatting>
  <conditionalFormatting sqref="V31:X33">
    <cfRule type="cellIs" dxfId="27" priority="20" stopIfTrue="1" operator="equal">
      <formula>$M$39</formula>
    </cfRule>
  </conditionalFormatting>
  <conditionalFormatting sqref="V23:AP29 V31:AA33">
    <cfRule type="cellIs" dxfId="26" priority="33" stopIfTrue="1" operator="between">
      <formula>$M$42</formula>
      <formula>$M$43</formula>
    </cfRule>
  </conditionalFormatting>
  <conditionalFormatting sqref="S37 AP3:AP8 AJ3:AK8 AL3:AO7">
    <cfRule type="cellIs" dxfId="25" priority="30" stopIfTrue="1" operator="between">
      <formula>$O$42</formula>
      <formula>$O$43</formula>
    </cfRule>
  </conditionalFormatting>
  <conditionalFormatting sqref="AJ3:AJ8">
    <cfRule type="cellIs" dxfId="24" priority="27" stopIfTrue="1" operator="equal">
      <formula>$T$36</formula>
    </cfRule>
    <cfRule type="cellIs" dxfId="23" priority="28" stopIfTrue="1" operator="equal">
      <formula>$M$38</formula>
    </cfRule>
  </conditionalFormatting>
  <conditionalFormatting sqref="AM7">
    <cfRule type="cellIs" dxfId="22" priority="15" stopIfTrue="1" operator="equal">
      <formula>$AI$43</formula>
    </cfRule>
  </conditionalFormatting>
  <conditionalFormatting sqref="V3:V8">
    <cfRule type="cellIs" dxfId="21" priority="4" operator="equal">
      <formula>$B$39</formula>
    </cfRule>
  </conditionalFormatting>
  <conditionalFormatting sqref="V11:X33">
    <cfRule type="cellIs" dxfId="20" priority="34" operator="equal">
      <formula>$C$39</formula>
    </cfRule>
  </conditionalFormatting>
  <conditionalFormatting sqref="AM5:AM7">
    <cfRule type="cellIs" dxfId="19" priority="2" operator="equal">
      <formula>$O$35</formula>
    </cfRule>
  </conditionalFormatting>
  <hyperlinks>
    <hyperlink ref="AD5:AH7" location="año!A1" display="año!A1"/>
    <hyperlink ref="V1:Z1" location="FEBRERO!A1" display="FEBRERO!A1"/>
    <hyperlink ref="AJ1:AN1" location="ABRIL!A1" display="ABRIL!A1"/>
    <hyperlink ref="AI36:AO36" location="PORTADA!A1" display="IR A PORTADA"/>
    <hyperlink ref="AA36:AG36" location="año!A1" display="IR A AÑO COMPLETO"/>
  </hyperlinks>
  <pageMargins left="0.75" right="0.75" top="1" bottom="1" header="0" footer="0"/>
  <pageSetup paperSize="9" orientation="portrait" r:id="rId2"/>
  <headerFooter alignWithMargins="0"/>
  <drawing r:id="rId3"/>
</worksheet>
</file>

<file path=xl/worksheets/sheet16.xml><?xml version="1.0" encoding="utf-8"?>
<worksheet xmlns="http://schemas.openxmlformats.org/spreadsheetml/2006/main" xmlns:r="http://schemas.openxmlformats.org/officeDocument/2006/relationships">
  <sheetPr codeName="Hoja16"/>
  <dimension ref="B1:AT71"/>
  <sheetViews>
    <sheetView showGridLines="0" showRowColHeaders="0" showZeros="0" showOutlineSymbols="0" zoomScale="125" zoomScaleNormal="125" workbookViewId="0">
      <selection activeCell="AT32" sqref="AT32"/>
    </sheetView>
  </sheetViews>
  <sheetFormatPr baseColWidth="10" defaultColWidth="3.33203125" defaultRowHeight="13.2"/>
  <cols>
    <col min="2" max="2" width="6.109375" customWidth="1"/>
  </cols>
  <sheetData>
    <row r="1" spans="2:42" ht="13.8" customHeight="1" thickBot="1">
      <c r="B1" s="1216" t="s">
        <v>991</v>
      </c>
      <c r="C1" s="1217"/>
      <c r="D1" s="1217"/>
      <c r="E1" s="1217"/>
      <c r="F1" s="1217"/>
      <c r="G1" s="1217"/>
      <c r="H1" s="1217"/>
      <c r="I1" s="1217"/>
      <c r="J1" s="1217"/>
      <c r="K1" s="1217"/>
      <c r="L1" s="1217"/>
      <c r="M1" s="1217"/>
      <c r="N1" s="1217"/>
      <c r="O1" s="1217"/>
      <c r="P1" s="1217"/>
      <c r="Q1" s="1217"/>
      <c r="R1" s="1217"/>
      <c r="S1" s="1217"/>
      <c r="T1" s="1217"/>
      <c r="U1" s="1218"/>
      <c r="V1" s="1055" t="str">
        <f>año!$C$4</f>
        <v>ENERO</v>
      </c>
      <c r="W1" s="1056"/>
      <c r="X1" s="1056"/>
      <c r="Y1" s="1056"/>
      <c r="Z1" s="1056"/>
      <c r="AA1" s="1098">
        <f>año!$O$1</f>
        <v>2024</v>
      </c>
      <c r="AB1" s="1099"/>
      <c r="AC1" s="202"/>
      <c r="AD1" s="202"/>
      <c r="AE1" s="202"/>
      <c r="AF1" s="202"/>
      <c r="AG1" s="202"/>
      <c r="AH1" s="202"/>
      <c r="AI1" s="202"/>
      <c r="AJ1" s="1055" t="str">
        <f>año!$S$4</f>
        <v>MARZO</v>
      </c>
      <c r="AK1" s="1056"/>
      <c r="AL1" s="1056"/>
      <c r="AM1" s="1056"/>
      <c r="AN1" s="1056"/>
      <c r="AO1" s="1098">
        <f>año!$O$1</f>
        <v>2024</v>
      </c>
      <c r="AP1" s="1099"/>
    </row>
    <row r="2" spans="2:42" ht="9" customHeight="1" thickBot="1">
      <c r="B2" s="1219"/>
      <c r="C2" s="1220"/>
      <c r="D2" s="1220"/>
      <c r="E2" s="1220"/>
      <c r="F2" s="1220"/>
      <c r="G2" s="1220"/>
      <c r="H2" s="1220"/>
      <c r="I2" s="1220"/>
      <c r="J2" s="1220"/>
      <c r="K2" s="1220"/>
      <c r="L2" s="1220"/>
      <c r="M2" s="1220"/>
      <c r="N2" s="1220"/>
      <c r="O2" s="1220"/>
      <c r="P2" s="1220"/>
      <c r="Q2" s="1220"/>
      <c r="R2" s="1220"/>
      <c r="S2" s="1220"/>
      <c r="T2" s="1220"/>
      <c r="U2" s="1221"/>
      <c r="V2" s="119" t="s">
        <v>20</v>
      </c>
      <c r="W2" s="120" t="s">
        <v>17</v>
      </c>
      <c r="X2" s="120" t="s">
        <v>29</v>
      </c>
      <c r="Y2" s="120" t="s">
        <v>24</v>
      </c>
      <c r="Z2" s="120" t="s">
        <v>12</v>
      </c>
      <c r="AA2" s="120" t="s">
        <v>7</v>
      </c>
      <c r="AB2" s="121" t="s">
        <v>15</v>
      </c>
      <c r="AC2" s="165"/>
      <c r="AD2" s="1229" t="str">
        <f>año!$K$4</f>
        <v>FEBRERO</v>
      </c>
      <c r="AE2" s="1229"/>
      <c r="AF2" s="1229"/>
      <c r="AG2" s="1229"/>
      <c r="AH2" s="1229"/>
      <c r="AI2" s="165"/>
      <c r="AJ2" s="119" t="s">
        <v>20</v>
      </c>
      <c r="AK2" s="120" t="s">
        <v>17</v>
      </c>
      <c r="AL2" s="120" t="s">
        <v>29</v>
      </c>
      <c r="AM2" s="120" t="s">
        <v>24</v>
      </c>
      <c r="AN2" s="120" t="s">
        <v>12</v>
      </c>
      <c r="AO2" s="120" t="s">
        <v>7</v>
      </c>
      <c r="AP2" s="121" t="s">
        <v>15</v>
      </c>
    </row>
    <row r="3" spans="2:42" ht="9" customHeight="1">
      <c r="B3" s="1219"/>
      <c r="C3" s="1220"/>
      <c r="D3" s="1220"/>
      <c r="E3" s="1220"/>
      <c r="F3" s="1220"/>
      <c r="G3" s="1220"/>
      <c r="H3" s="1220"/>
      <c r="I3" s="1220"/>
      <c r="J3" s="1220"/>
      <c r="K3" s="1220"/>
      <c r="L3" s="1220"/>
      <c r="M3" s="1220"/>
      <c r="N3" s="1220"/>
      <c r="O3" s="1220"/>
      <c r="P3" s="1220"/>
      <c r="Q3" s="1220"/>
      <c r="R3" s="1220"/>
      <c r="S3" s="1220"/>
      <c r="T3" s="1220"/>
      <c r="U3" s="1221"/>
      <c r="V3" s="122">
        <f>año!C6</f>
        <v>1</v>
      </c>
      <c r="W3" s="123">
        <f>año!D6</f>
        <v>2</v>
      </c>
      <c r="X3" s="123">
        <f>año!E6</f>
        <v>3</v>
      </c>
      <c r="Y3" s="123">
        <f>año!F6</f>
        <v>4</v>
      </c>
      <c r="Z3" s="123">
        <f>año!G6</f>
        <v>5</v>
      </c>
      <c r="AA3" s="123">
        <f>año!H6</f>
        <v>6</v>
      </c>
      <c r="AB3" s="132">
        <f>año!I6</f>
        <v>7</v>
      </c>
      <c r="AC3" s="165"/>
      <c r="AD3" s="1229"/>
      <c r="AE3" s="1229"/>
      <c r="AF3" s="1229"/>
      <c r="AG3" s="1229"/>
      <c r="AH3" s="1229"/>
      <c r="AI3" s="165"/>
      <c r="AJ3" s="128" t="str">
        <f>año!S6</f>
        <v xml:space="preserve"> </v>
      </c>
      <c r="AK3" s="129" t="str">
        <f>año!T6</f>
        <v xml:space="preserve"> </v>
      </c>
      <c r="AL3" s="129" t="str">
        <f>año!U6</f>
        <v xml:space="preserve"> </v>
      </c>
      <c r="AM3" s="129" t="str">
        <f>año!V6</f>
        <v xml:space="preserve"> </v>
      </c>
      <c r="AN3" s="129">
        <f>año!W6</f>
        <v>1</v>
      </c>
      <c r="AO3" s="418">
        <f>año!X6</f>
        <v>2</v>
      </c>
      <c r="AP3" s="701">
        <f>año!Y6</f>
        <v>3</v>
      </c>
    </row>
    <row r="4" spans="2:42" ht="9" customHeight="1">
      <c r="B4" s="1219"/>
      <c r="C4" s="1220"/>
      <c r="D4" s="1220"/>
      <c r="E4" s="1220"/>
      <c r="F4" s="1220"/>
      <c r="G4" s="1220"/>
      <c r="H4" s="1220"/>
      <c r="I4" s="1220"/>
      <c r="J4" s="1220"/>
      <c r="K4" s="1220"/>
      <c r="L4" s="1220"/>
      <c r="M4" s="1220"/>
      <c r="N4" s="1220"/>
      <c r="O4" s="1220"/>
      <c r="P4" s="1220"/>
      <c r="Q4" s="1220"/>
      <c r="R4" s="1220"/>
      <c r="S4" s="1220"/>
      <c r="T4" s="1220"/>
      <c r="U4" s="1221"/>
      <c r="V4" s="124">
        <f>año!C7</f>
        <v>8</v>
      </c>
      <c r="W4" s="125">
        <f>año!D7</f>
        <v>9</v>
      </c>
      <c r="X4" s="125">
        <f>año!E7</f>
        <v>10</v>
      </c>
      <c r="Y4" s="125">
        <f>año!F7</f>
        <v>11</v>
      </c>
      <c r="Z4" s="125">
        <f>año!G7</f>
        <v>12</v>
      </c>
      <c r="AA4" s="125">
        <f>año!H7</f>
        <v>13</v>
      </c>
      <c r="AB4" s="133">
        <f>año!I7</f>
        <v>14</v>
      </c>
      <c r="AC4" s="165"/>
      <c r="AD4" s="1229"/>
      <c r="AE4" s="1229"/>
      <c r="AF4" s="1229"/>
      <c r="AG4" s="1229"/>
      <c r="AH4" s="1229"/>
      <c r="AI4" s="165"/>
      <c r="AJ4" s="130">
        <f>año!S7</f>
        <v>4</v>
      </c>
      <c r="AK4" s="131">
        <f>año!T7</f>
        <v>5</v>
      </c>
      <c r="AL4" s="131">
        <f>año!U7</f>
        <v>6</v>
      </c>
      <c r="AM4" s="131">
        <f>año!V7</f>
        <v>7</v>
      </c>
      <c r="AN4" s="131">
        <f>año!W7</f>
        <v>8</v>
      </c>
      <c r="AO4" s="131">
        <f>año!X7</f>
        <v>9</v>
      </c>
      <c r="AP4" s="133">
        <f>año!Y7</f>
        <v>10</v>
      </c>
    </row>
    <row r="5" spans="2:42" ht="9" customHeight="1">
      <c r="B5" s="694"/>
      <c r="C5" s="351"/>
      <c r="D5" s="351"/>
      <c r="E5" s="351"/>
      <c r="F5" s="351"/>
      <c r="G5" s="351"/>
      <c r="H5" s="351"/>
      <c r="I5" s="351"/>
      <c r="J5" s="351"/>
      <c r="K5" s="351"/>
      <c r="L5" s="351"/>
      <c r="M5" s="351"/>
      <c r="N5" s="351"/>
      <c r="O5" s="351"/>
      <c r="P5" s="351"/>
      <c r="Q5" s="351"/>
      <c r="R5" s="351"/>
      <c r="S5" s="351"/>
      <c r="T5" s="351"/>
      <c r="U5" s="351"/>
      <c r="V5" s="124">
        <f>año!C8</f>
        <v>15</v>
      </c>
      <c r="W5" s="125">
        <f>año!D8</f>
        <v>16</v>
      </c>
      <c r="X5" s="125">
        <f>año!E8</f>
        <v>17</v>
      </c>
      <c r="Y5" s="125">
        <f>año!F8</f>
        <v>18</v>
      </c>
      <c r="Z5" s="125">
        <f>año!G8</f>
        <v>19</v>
      </c>
      <c r="AA5" s="712">
        <f>año!H8</f>
        <v>20</v>
      </c>
      <c r="AB5" s="416">
        <f>año!I8</f>
        <v>21</v>
      </c>
      <c r="AC5" s="165"/>
      <c r="AD5" s="1044">
        <f>año!$O$1</f>
        <v>2024</v>
      </c>
      <c r="AE5" s="1045"/>
      <c r="AF5" s="1045"/>
      <c r="AG5" s="1045"/>
      <c r="AH5" s="1045"/>
      <c r="AI5" s="165"/>
      <c r="AJ5" s="130">
        <f>año!S8</f>
        <v>11</v>
      </c>
      <c r="AK5" s="131">
        <f>año!T8</f>
        <v>12</v>
      </c>
      <c r="AL5" s="131">
        <f>año!U8</f>
        <v>13</v>
      </c>
      <c r="AM5" s="131">
        <f>año!V8</f>
        <v>14</v>
      </c>
      <c r="AN5" s="131">
        <f>año!W8</f>
        <v>15</v>
      </c>
      <c r="AO5" s="131">
        <f>año!X8</f>
        <v>16</v>
      </c>
      <c r="AP5" s="133">
        <f>año!Y8</f>
        <v>17</v>
      </c>
    </row>
    <row r="6" spans="2:42" ht="9" customHeight="1">
      <c r="B6" s="401"/>
      <c r="C6" s="351"/>
      <c r="D6" s="351"/>
      <c r="E6" s="351"/>
      <c r="F6" s="351"/>
      <c r="G6" s="351"/>
      <c r="H6" s="351"/>
      <c r="I6" s="351"/>
      <c r="J6" s="351"/>
      <c r="K6" s="351"/>
      <c r="L6" s="351"/>
      <c r="M6" s="351"/>
      <c r="N6" s="351"/>
      <c r="O6" s="351"/>
      <c r="P6" s="351"/>
      <c r="Q6" s="351"/>
      <c r="R6" s="351"/>
      <c r="S6" s="351"/>
      <c r="T6" s="351"/>
      <c r="U6" s="351"/>
      <c r="V6" s="124">
        <f>año!C9</f>
        <v>22</v>
      </c>
      <c r="W6" s="125">
        <f>año!D9</f>
        <v>23</v>
      </c>
      <c r="X6" s="125">
        <f>año!E9</f>
        <v>24</v>
      </c>
      <c r="Y6" s="125">
        <f>año!F9</f>
        <v>25</v>
      </c>
      <c r="Z6" s="125">
        <f>año!G9</f>
        <v>26</v>
      </c>
      <c r="AA6" s="342">
        <f>año!H9</f>
        <v>27</v>
      </c>
      <c r="AB6" s="133">
        <f>año!I9</f>
        <v>28</v>
      </c>
      <c r="AC6" s="165"/>
      <c r="AD6" s="1045"/>
      <c r="AE6" s="1045"/>
      <c r="AF6" s="1045"/>
      <c r="AG6" s="1045"/>
      <c r="AH6" s="1045"/>
      <c r="AI6" s="165"/>
      <c r="AJ6" s="250">
        <f>año!S9</f>
        <v>18</v>
      </c>
      <c r="AK6" s="131">
        <f>año!T9</f>
        <v>19</v>
      </c>
      <c r="AL6" s="131">
        <f>año!U9</f>
        <v>20</v>
      </c>
      <c r="AM6" s="340">
        <f>año!V9</f>
        <v>21</v>
      </c>
      <c r="AN6" s="131">
        <f>año!W9</f>
        <v>22</v>
      </c>
      <c r="AO6" s="131">
        <f>año!X9</f>
        <v>23</v>
      </c>
      <c r="AP6" s="133">
        <f>año!Y9</f>
        <v>24</v>
      </c>
    </row>
    <row r="7" spans="2:42" ht="9" customHeight="1">
      <c r="B7" s="401"/>
      <c r="C7" s="351"/>
      <c r="D7" s="351"/>
      <c r="E7" s="351"/>
      <c r="F7" s="351"/>
      <c r="G7" s="351"/>
      <c r="H7" s="351"/>
      <c r="I7" s="351"/>
      <c r="J7" s="351"/>
      <c r="K7" s="351"/>
      <c r="L7" s="351"/>
      <c r="M7" s="351"/>
      <c r="N7" s="351"/>
      <c r="O7" s="351"/>
      <c r="P7" s="351"/>
      <c r="Q7" s="351"/>
      <c r="R7" s="351"/>
      <c r="S7" s="351"/>
      <c r="T7" s="351"/>
      <c r="U7" s="351"/>
      <c r="V7" s="124">
        <f>año!C10</f>
        <v>29</v>
      </c>
      <c r="W7" s="125">
        <f>año!D10</f>
        <v>30</v>
      </c>
      <c r="X7" s="125">
        <f>año!E10</f>
        <v>31</v>
      </c>
      <c r="Y7" s="125" t="str">
        <f>año!F10</f>
        <v xml:space="preserve"> </v>
      </c>
      <c r="Z7" s="125" t="str">
        <f>año!G10</f>
        <v xml:space="preserve"> </v>
      </c>
      <c r="AA7" s="710" t="str">
        <f>año!H10</f>
        <v xml:space="preserve"> </v>
      </c>
      <c r="AB7" s="711" t="str">
        <f>año!I10</f>
        <v xml:space="preserve"> </v>
      </c>
      <c r="AC7" s="165"/>
      <c r="AD7" s="1045"/>
      <c r="AE7" s="1045"/>
      <c r="AF7" s="1045"/>
      <c r="AG7" s="1045"/>
      <c r="AH7" s="1045"/>
      <c r="AI7" s="165"/>
      <c r="AJ7" s="130">
        <f>año!S10</f>
        <v>25</v>
      </c>
      <c r="AK7" s="131">
        <f>año!T10</f>
        <v>26</v>
      </c>
      <c r="AL7" s="131">
        <f>año!U10</f>
        <v>27</v>
      </c>
      <c r="AM7" s="131">
        <f>año!V10</f>
        <v>28</v>
      </c>
      <c r="AN7" s="131">
        <f>año!W10</f>
        <v>29</v>
      </c>
      <c r="AO7" s="131">
        <f>año!X10</f>
        <v>30</v>
      </c>
      <c r="AP7" s="133">
        <f>año!Y10</f>
        <v>31</v>
      </c>
    </row>
    <row r="8" spans="2:42" ht="12" customHeight="1" thickBot="1">
      <c r="B8" s="140"/>
      <c r="C8" s="351"/>
      <c r="D8" s="351"/>
      <c r="E8" s="351"/>
      <c r="F8" s="351"/>
      <c r="G8" s="351"/>
      <c r="H8" s="351"/>
      <c r="I8" s="351"/>
      <c r="J8" s="351"/>
      <c r="K8" s="351"/>
      <c r="L8" s="351"/>
      <c r="M8" s="351"/>
      <c r="N8" s="351"/>
      <c r="O8" s="351"/>
      <c r="P8" s="351"/>
      <c r="Q8" s="351"/>
      <c r="R8" s="351"/>
      <c r="S8" s="351"/>
      <c r="T8" s="351"/>
      <c r="U8" s="351"/>
      <c r="V8" s="126" t="str">
        <f>año!C11</f>
        <v xml:space="preserve"> </v>
      </c>
      <c r="W8" s="127" t="str">
        <f>año!D11</f>
        <v xml:space="preserve"> </v>
      </c>
      <c r="X8" s="127" t="str">
        <f>año!E11</f>
        <v xml:space="preserve"> </v>
      </c>
      <c r="Y8" s="249" t="str">
        <f>año!F11</f>
        <v>Epacta</v>
      </c>
      <c r="Z8" s="127"/>
      <c r="AA8" s="127">
        <f>año!H11</f>
        <v>19</v>
      </c>
      <c r="AB8" s="134" t="str">
        <f>año!I11</f>
        <v xml:space="preserve"> </v>
      </c>
      <c r="AC8" s="165"/>
      <c r="AD8" s="165"/>
      <c r="AE8" s="165"/>
      <c r="AF8" s="165"/>
      <c r="AG8" s="165"/>
      <c r="AH8" s="165"/>
      <c r="AI8" s="165"/>
      <c r="AJ8" s="126">
        <f>año!S11</f>
        <v>0</v>
      </c>
      <c r="AK8" s="1157" t="str">
        <f>año!U11</f>
        <v>LUNA LLENA PASCUAL</v>
      </c>
      <c r="AL8" s="1158"/>
      <c r="AM8" s="1158"/>
      <c r="AN8" s="1158"/>
      <c r="AO8" s="1158"/>
      <c r="AP8" s="134">
        <f>año!Y11</f>
        <v>25</v>
      </c>
    </row>
    <row r="9" spans="2:42" ht="9" customHeight="1">
      <c r="B9" s="140"/>
      <c r="C9" s="351"/>
      <c r="D9" s="351"/>
      <c r="E9" s="351"/>
      <c r="F9" s="351"/>
      <c r="G9" s="351"/>
      <c r="H9" s="351"/>
      <c r="I9" s="351"/>
      <c r="J9" s="351"/>
      <c r="K9" s="351"/>
      <c r="L9" s="351"/>
      <c r="M9" s="351"/>
      <c r="N9" s="351"/>
      <c r="O9" s="351"/>
      <c r="P9" s="351"/>
      <c r="Q9" s="351"/>
      <c r="R9" s="351"/>
      <c r="S9" s="351"/>
      <c r="T9" s="351"/>
      <c r="U9" s="352"/>
      <c r="V9" s="362"/>
      <c r="W9" s="362"/>
      <c r="X9" s="362"/>
      <c r="Y9" s="362"/>
      <c r="Z9" s="362"/>
      <c r="AA9" s="362"/>
      <c r="AB9" s="362"/>
      <c r="AC9" s="362"/>
      <c r="AD9" s="362"/>
      <c r="AE9" s="362"/>
      <c r="AF9" s="362"/>
      <c r="AG9" s="362"/>
      <c r="AH9" s="362"/>
      <c r="AI9" s="362"/>
      <c r="AJ9" s="362"/>
      <c r="AK9" s="362"/>
      <c r="AL9" s="362"/>
      <c r="AM9" s="362"/>
      <c r="AN9" s="362"/>
      <c r="AO9" s="362"/>
      <c r="AP9" s="363"/>
    </row>
    <row r="10" spans="2:42" ht="9" customHeight="1">
      <c r="B10" s="140"/>
      <c r="C10" s="351"/>
      <c r="D10" s="351"/>
      <c r="E10" s="351"/>
      <c r="F10" s="351"/>
      <c r="G10" s="351"/>
      <c r="H10" s="351"/>
      <c r="I10" s="351"/>
      <c r="J10" s="351"/>
      <c r="K10" s="351"/>
      <c r="L10" s="351"/>
      <c r="M10" s="351"/>
      <c r="N10" s="351"/>
      <c r="O10" s="351"/>
      <c r="P10" s="351"/>
      <c r="Q10" s="351"/>
      <c r="R10" s="351"/>
      <c r="S10" s="351"/>
      <c r="T10" s="351"/>
      <c r="U10" s="352"/>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224"/>
    </row>
    <row r="11" spans="2:42" ht="9" customHeight="1">
      <c r="B11" s="140"/>
      <c r="C11" s="351"/>
      <c r="D11" s="351"/>
      <c r="E11" s="351"/>
      <c r="F11" s="351"/>
      <c r="G11" s="351"/>
      <c r="H11" s="351"/>
      <c r="I11" s="351"/>
      <c r="J11" s="351"/>
      <c r="K11" s="351"/>
      <c r="L11" s="351"/>
      <c r="M11" s="351"/>
      <c r="N11" s="351"/>
      <c r="O11" s="351"/>
      <c r="P11" s="351"/>
      <c r="Q11" s="351"/>
      <c r="R11" s="351"/>
      <c r="S11" s="351"/>
      <c r="T11" s="351"/>
      <c r="U11" s="352"/>
      <c r="V11" s="1060" t="str">
        <f>año!K6</f>
        <v xml:space="preserve"> </v>
      </c>
      <c r="W11" s="1199"/>
      <c r="X11" s="1199"/>
      <c r="Y11" s="1199" t="str">
        <f>año!L6</f>
        <v xml:space="preserve"> </v>
      </c>
      <c r="Z11" s="1199"/>
      <c r="AA11" s="1199"/>
      <c r="AB11" s="1199" t="str">
        <f>año!M6</f>
        <v xml:space="preserve"> </v>
      </c>
      <c r="AC11" s="1199"/>
      <c r="AD11" s="1199"/>
      <c r="AE11" s="1199">
        <f>año!N6</f>
        <v>1</v>
      </c>
      <c r="AF11" s="1199"/>
      <c r="AG11" s="1199"/>
      <c r="AH11" s="1199">
        <f>año!O6</f>
        <v>2</v>
      </c>
      <c r="AI11" s="1199"/>
      <c r="AJ11" s="1199"/>
      <c r="AK11" s="1222">
        <f>año!P6</f>
        <v>3</v>
      </c>
      <c r="AL11" s="1222"/>
      <c r="AM11" s="1222"/>
      <c r="AN11" s="1225">
        <f>año!Q6</f>
        <v>4</v>
      </c>
      <c r="AO11" s="1225"/>
      <c r="AP11" s="1226"/>
    </row>
    <row r="12" spans="2:42" ht="9" customHeight="1">
      <c r="B12" s="140"/>
      <c r="C12" s="351"/>
      <c r="D12" s="351"/>
      <c r="E12" s="351"/>
      <c r="F12" s="351"/>
      <c r="G12" s="351"/>
      <c r="H12" s="351"/>
      <c r="I12" s="351"/>
      <c r="J12" s="351"/>
      <c r="K12" s="351"/>
      <c r="L12" s="351"/>
      <c r="M12" s="351"/>
      <c r="N12" s="351"/>
      <c r="O12" s="351"/>
      <c r="P12" s="351"/>
      <c r="Q12" s="351"/>
      <c r="R12" s="351"/>
      <c r="S12" s="351"/>
      <c r="T12" s="351"/>
      <c r="U12" s="352"/>
      <c r="V12" s="1200"/>
      <c r="W12" s="1052"/>
      <c r="X12" s="1052"/>
      <c r="Y12" s="1052"/>
      <c r="Z12" s="1052"/>
      <c r="AA12" s="1052"/>
      <c r="AB12" s="1052"/>
      <c r="AC12" s="1052"/>
      <c r="AD12" s="1052"/>
      <c r="AE12" s="1052"/>
      <c r="AF12" s="1052"/>
      <c r="AG12" s="1052"/>
      <c r="AH12" s="1052"/>
      <c r="AI12" s="1052"/>
      <c r="AJ12" s="1052"/>
      <c r="AK12" s="1110"/>
      <c r="AL12" s="1110"/>
      <c r="AM12" s="1110"/>
      <c r="AN12" s="1128"/>
      <c r="AO12" s="1128"/>
      <c r="AP12" s="1227"/>
    </row>
    <row r="13" spans="2:42" ht="9" customHeight="1">
      <c r="B13" s="140"/>
      <c r="C13" s="351"/>
      <c r="D13" s="351"/>
      <c r="E13" s="351"/>
      <c r="F13" s="351"/>
      <c r="G13" s="351"/>
      <c r="H13" s="351"/>
      <c r="I13" s="351"/>
      <c r="J13" s="351"/>
      <c r="K13" s="351"/>
      <c r="L13" s="351"/>
      <c r="M13" s="351"/>
      <c r="N13" s="351"/>
      <c r="O13" s="351"/>
      <c r="P13" s="351"/>
      <c r="Q13" s="351"/>
      <c r="R13" s="351"/>
      <c r="S13" s="351"/>
      <c r="T13" s="351"/>
      <c r="U13" s="352"/>
      <c r="V13" s="1200"/>
      <c r="W13" s="1052"/>
      <c r="X13" s="1052"/>
      <c r="Y13" s="1052"/>
      <c r="Z13" s="1052"/>
      <c r="AA13" s="1052"/>
      <c r="AB13" s="1052"/>
      <c r="AC13" s="1052"/>
      <c r="AD13" s="1052"/>
      <c r="AE13" s="1052"/>
      <c r="AF13" s="1052"/>
      <c r="AG13" s="1052"/>
      <c r="AH13" s="1052"/>
      <c r="AI13" s="1052"/>
      <c r="AJ13" s="1052"/>
      <c r="AK13" s="1110"/>
      <c r="AL13" s="1110"/>
      <c r="AM13" s="1110"/>
      <c r="AN13" s="1128"/>
      <c r="AO13" s="1128"/>
      <c r="AP13" s="1227"/>
    </row>
    <row r="14" spans="2:42" ht="9" customHeight="1">
      <c r="B14" s="140"/>
      <c r="C14" s="351"/>
      <c r="D14" s="351"/>
      <c r="E14" s="351"/>
      <c r="F14" s="351"/>
      <c r="G14" s="351"/>
      <c r="H14" s="351"/>
      <c r="I14" s="351"/>
      <c r="J14" s="351"/>
      <c r="K14" s="351"/>
      <c r="L14" s="351"/>
      <c r="M14" s="351"/>
      <c r="N14" s="351"/>
      <c r="O14" s="351"/>
      <c r="P14" s="351"/>
      <c r="Q14" s="351"/>
      <c r="R14" s="351"/>
      <c r="S14" s="351"/>
      <c r="T14" s="351"/>
      <c r="U14" s="352"/>
      <c r="V14" s="1202" t="str">
        <f>IF(V11&lt;&gt;" ",VLOOKUP(V11,$F$41:$H$71,2)," ")</f>
        <v xml:space="preserve"> </v>
      </c>
      <c r="W14" s="1050"/>
      <c r="X14" s="1050"/>
      <c r="Y14" s="1050" t="str">
        <f>IF(Y11&lt;&gt;" ",VLOOKUP(Y11,$F$41:$H$71,2)," ")</f>
        <v xml:space="preserve"> </v>
      </c>
      <c r="Z14" s="1050"/>
      <c r="AA14" s="1050"/>
      <c r="AB14" s="1050" t="str">
        <f>IF(AB11&lt;&gt;" ",VLOOKUP(AB11,$F$41:$H$71,2)," ")</f>
        <v xml:space="preserve"> </v>
      </c>
      <c r="AC14" s="1050"/>
      <c r="AD14" s="1050"/>
      <c r="AE14" s="1050" t="str">
        <f>IF(AE11&lt;&gt;" ",VLOOKUP(AE11,$F$41:$H$71,2)," ")</f>
        <v>Raúl/Emma</v>
      </c>
      <c r="AF14" s="1050"/>
      <c r="AG14" s="1050"/>
      <c r="AH14" s="1050" t="str">
        <f>IF(AH11&lt;&gt;" ",VLOOKUP(AH11,$F$41:$H$71,2)," ")</f>
        <v>La Candelera</v>
      </c>
      <c r="AI14" s="1050"/>
      <c r="AJ14" s="1050"/>
      <c r="AK14" s="1050" t="str">
        <f>IF(AK11&lt;&gt;" ",VLOOKUP(AK11,$F$41:$H$71,2)," ")</f>
        <v>Óscar-Blas</v>
      </c>
      <c r="AL14" s="1050"/>
      <c r="AM14" s="1050"/>
      <c r="AN14" s="1050" t="str">
        <f>IF(AN11&lt;&gt;" ",VLOOKUP(AN11,$F$41:$H$71,2)," ")</f>
        <v>Juan Ávila</v>
      </c>
      <c r="AO14" s="1050"/>
      <c r="AP14" s="1223"/>
    </row>
    <row r="15" spans="2:42" ht="9" customHeight="1">
      <c r="B15" s="140"/>
      <c r="C15" s="351"/>
      <c r="D15" s="351"/>
      <c r="E15" s="351"/>
      <c r="F15" s="351"/>
      <c r="G15" s="351"/>
      <c r="H15" s="351"/>
      <c r="I15" s="351"/>
      <c r="J15" s="351"/>
      <c r="K15" s="351"/>
      <c r="L15" s="351"/>
      <c r="M15" s="351"/>
      <c r="N15" s="351"/>
      <c r="O15" s="351"/>
      <c r="P15" s="351"/>
      <c r="Q15" s="351"/>
      <c r="R15" s="351"/>
      <c r="S15" s="351"/>
      <c r="T15" s="351"/>
      <c r="U15" s="352"/>
      <c r="V15" s="1200">
        <f>año!K7</f>
        <v>5</v>
      </c>
      <c r="W15" s="1214"/>
      <c r="X15" s="1214"/>
      <c r="Y15" s="1052">
        <f>año!L7</f>
        <v>6</v>
      </c>
      <c r="Z15" s="1052"/>
      <c r="AA15" s="1052"/>
      <c r="AB15" s="1052">
        <f>año!M7</f>
        <v>7</v>
      </c>
      <c r="AC15" s="1052"/>
      <c r="AD15" s="1052"/>
      <c r="AE15" s="1052">
        <f>año!N7</f>
        <v>8</v>
      </c>
      <c r="AF15" s="1052"/>
      <c r="AG15" s="1052"/>
      <c r="AH15" s="1052">
        <f>año!O7</f>
        <v>9</v>
      </c>
      <c r="AI15" s="1052"/>
      <c r="AJ15" s="1052"/>
      <c r="AK15" s="1072">
        <f>año!P7</f>
        <v>10</v>
      </c>
      <c r="AL15" s="1072"/>
      <c r="AM15" s="1072"/>
      <c r="AN15" s="1064">
        <f>año!Q7</f>
        <v>11</v>
      </c>
      <c r="AO15" s="1064"/>
      <c r="AP15" s="1206"/>
    </row>
    <row r="16" spans="2:42" ht="9" customHeight="1">
      <c r="B16" s="140"/>
      <c r="C16" s="351"/>
      <c r="D16" s="351"/>
      <c r="E16" s="351"/>
      <c r="F16" s="351"/>
      <c r="G16" s="351"/>
      <c r="H16" s="351"/>
      <c r="I16" s="351"/>
      <c r="J16" s="351"/>
      <c r="K16" s="351"/>
      <c r="L16" s="351"/>
      <c r="M16" s="351"/>
      <c r="N16" s="351"/>
      <c r="O16" s="351"/>
      <c r="P16" s="351"/>
      <c r="Q16" s="351"/>
      <c r="R16" s="351"/>
      <c r="S16" s="351"/>
      <c r="T16" s="351"/>
      <c r="U16" s="352"/>
      <c r="V16" s="1215"/>
      <c r="W16" s="1214"/>
      <c r="X16" s="1214"/>
      <c r="Y16" s="1052"/>
      <c r="Z16" s="1052"/>
      <c r="AA16" s="1052"/>
      <c r="AB16" s="1052"/>
      <c r="AC16" s="1052"/>
      <c r="AD16" s="1052"/>
      <c r="AE16" s="1052"/>
      <c r="AF16" s="1052"/>
      <c r="AG16" s="1052"/>
      <c r="AH16" s="1052"/>
      <c r="AI16" s="1052"/>
      <c r="AJ16" s="1052"/>
      <c r="AK16" s="1072"/>
      <c r="AL16" s="1072"/>
      <c r="AM16" s="1072"/>
      <c r="AN16" s="1064"/>
      <c r="AO16" s="1064"/>
      <c r="AP16" s="1206"/>
    </row>
    <row r="17" spans="2:42" ht="9" customHeight="1">
      <c r="B17" s="140"/>
      <c r="C17" s="351"/>
      <c r="D17" s="351"/>
      <c r="E17" s="351"/>
      <c r="F17" s="351"/>
      <c r="G17" s="351"/>
      <c r="H17" s="351"/>
      <c r="I17" s="351"/>
      <c r="J17" s="351"/>
      <c r="K17" s="351"/>
      <c r="L17" s="351"/>
      <c r="M17" s="351"/>
      <c r="N17" s="351"/>
      <c r="O17" s="351"/>
      <c r="P17" s="351"/>
      <c r="Q17" s="351"/>
      <c r="R17" s="351"/>
      <c r="S17" s="351"/>
      <c r="T17" s="351"/>
      <c r="U17" s="352"/>
      <c r="V17" s="1215"/>
      <c r="W17" s="1214"/>
      <c r="X17" s="1214"/>
      <c r="Y17" s="1052"/>
      <c r="Z17" s="1052"/>
      <c r="AA17" s="1052"/>
      <c r="AB17" s="1052"/>
      <c r="AC17" s="1052"/>
      <c r="AD17" s="1052"/>
      <c r="AE17" s="1052"/>
      <c r="AF17" s="1052"/>
      <c r="AG17" s="1052"/>
      <c r="AH17" s="1052"/>
      <c r="AI17" s="1052"/>
      <c r="AJ17" s="1052"/>
      <c r="AK17" s="1072"/>
      <c r="AL17" s="1072"/>
      <c r="AM17" s="1072"/>
      <c r="AN17" s="1064"/>
      <c r="AO17" s="1064"/>
      <c r="AP17" s="1206"/>
    </row>
    <row r="18" spans="2:42" ht="9" customHeight="1">
      <c r="B18" s="140"/>
      <c r="C18" s="351"/>
      <c r="D18" s="351"/>
      <c r="E18" s="351"/>
      <c r="F18" s="351"/>
      <c r="G18" s="351"/>
      <c r="H18" s="351"/>
      <c r="I18" s="351"/>
      <c r="J18" s="351"/>
      <c r="K18" s="351"/>
      <c r="L18" s="351"/>
      <c r="M18" s="351"/>
      <c r="N18" s="351"/>
      <c r="O18" s="351"/>
      <c r="P18" s="351"/>
      <c r="Q18" s="351"/>
      <c r="R18" s="351"/>
      <c r="S18" s="351"/>
      <c r="T18" s="351"/>
      <c r="U18" s="352"/>
      <c r="V18" s="1202" t="str">
        <f>IF(V15&lt;&gt;" ",VLOOKUP(V15,$F$41:$H$71,2)," ")</f>
        <v>Águeda</v>
      </c>
      <c r="W18" s="1050"/>
      <c r="X18" s="1050"/>
      <c r="Y18" s="1050" t="str">
        <f>IF(Y15&lt;&gt;" ",VLOOKUP(Y15,$F$41:$H$71,2)," ")</f>
        <v>Silvano</v>
      </c>
      <c r="Z18" s="1050"/>
      <c r="AA18" s="1050"/>
      <c r="AB18" s="1050" t="str">
        <f>IF(AB15&lt;&gt;" ",VLOOKUP(AB15,$F$41:$H$71,2)," ")</f>
        <v>Ricardo</v>
      </c>
      <c r="AC18" s="1050"/>
      <c r="AD18" s="1050"/>
      <c r="AE18" s="1050" t="str">
        <f>IF(AE15&lt;&gt;" ",VLOOKUP(AE15,$F$41:$H$71,2)," ")</f>
        <v>Jerónimo</v>
      </c>
      <c r="AF18" s="1050"/>
      <c r="AG18" s="1050"/>
      <c r="AH18" s="1050" t="str">
        <f>IF(AH15&lt;&gt;" ",VLOOKUP(AH15,$F$41:$H$71,2)," ")</f>
        <v>Abelardo/Rebeca</v>
      </c>
      <c r="AI18" s="1050"/>
      <c r="AJ18" s="1050"/>
      <c r="AK18" s="1050" t="str">
        <f>IF(AK15&lt;&gt;" ",VLOOKUP(AK15,$F$41:$H$71,2)," ")</f>
        <v>Escolástica</v>
      </c>
      <c r="AL18" s="1050"/>
      <c r="AM18" s="1050"/>
      <c r="AN18" s="1050" t="str">
        <f>IF(AN15&lt;&gt;" ",VLOOKUP(AN15,$F$41:$H$71,2)," ")</f>
        <v>Ntra.Sra.Lourdes</v>
      </c>
      <c r="AO18" s="1050"/>
      <c r="AP18" s="1223"/>
    </row>
    <row r="19" spans="2:42" ht="9" customHeight="1">
      <c r="B19" s="140"/>
      <c r="C19" s="351"/>
      <c r="D19" s="351"/>
      <c r="E19" s="351"/>
      <c r="F19" s="351"/>
      <c r="G19" s="351"/>
      <c r="H19" s="351"/>
      <c r="I19" s="351"/>
      <c r="J19" s="351"/>
      <c r="K19" s="351"/>
      <c r="L19" s="351"/>
      <c r="M19" s="351"/>
      <c r="N19" s="351"/>
      <c r="O19" s="351"/>
      <c r="P19" s="351"/>
      <c r="Q19" s="351"/>
      <c r="R19" s="351"/>
      <c r="S19" s="351"/>
      <c r="T19" s="351"/>
      <c r="U19" s="352"/>
      <c r="V19" s="1200">
        <f>año!K8</f>
        <v>12</v>
      </c>
      <c r="W19" s="1052"/>
      <c r="X19" s="1052"/>
      <c r="Y19" s="1052">
        <f>año!L8</f>
        <v>13</v>
      </c>
      <c r="Z19" s="1052"/>
      <c r="AA19" s="1052"/>
      <c r="AB19" s="1052">
        <f>año!M8</f>
        <v>14</v>
      </c>
      <c r="AC19" s="1052"/>
      <c r="AD19" s="1052"/>
      <c r="AE19" s="1052">
        <f>año!N8</f>
        <v>15</v>
      </c>
      <c r="AF19" s="1052"/>
      <c r="AG19" s="1052"/>
      <c r="AH19" s="1052">
        <f>año!O8</f>
        <v>16</v>
      </c>
      <c r="AI19" s="1052"/>
      <c r="AJ19" s="1052"/>
      <c r="AK19" s="1052">
        <f>año!P8</f>
        <v>17</v>
      </c>
      <c r="AL19" s="1052"/>
      <c r="AM19" s="1052"/>
      <c r="AN19" s="1064">
        <f>año!Q8</f>
        <v>18</v>
      </c>
      <c r="AO19" s="1064"/>
      <c r="AP19" s="1206"/>
    </row>
    <row r="20" spans="2:42" ht="9" customHeight="1">
      <c r="B20" s="140"/>
      <c r="C20" s="351"/>
      <c r="D20" s="351"/>
      <c r="E20" s="351"/>
      <c r="F20" s="351"/>
      <c r="G20" s="351"/>
      <c r="H20" s="351"/>
      <c r="I20" s="351"/>
      <c r="J20" s="351"/>
      <c r="K20" s="351"/>
      <c r="L20" s="351"/>
      <c r="M20" s="351"/>
      <c r="N20" s="351"/>
      <c r="O20" s="351"/>
      <c r="P20" s="351"/>
      <c r="Q20" s="351"/>
      <c r="R20" s="351"/>
      <c r="S20" s="351"/>
      <c r="T20" s="351"/>
      <c r="U20" s="352"/>
      <c r="V20" s="1200"/>
      <c r="W20" s="1052"/>
      <c r="X20" s="1052"/>
      <c r="Y20" s="1052"/>
      <c r="Z20" s="1052"/>
      <c r="AA20" s="1052"/>
      <c r="AB20" s="1052"/>
      <c r="AC20" s="1052"/>
      <c r="AD20" s="1052"/>
      <c r="AE20" s="1052"/>
      <c r="AF20" s="1052"/>
      <c r="AG20" s="1052"/>
      <c r="AH20" s="1052"/>
      <c r="AI20" s="1052"/>
      <c r="AJ20" s="1052"/>
      <c r="AK20" s="1052"/>
      <c r="AL20" s="1052"/>
      <c r="AM20" s="1052"/>
      <c r="AN20" s="1064"/>
      <c r="AO20" s="1064"/>
      <c r="AP20" s="1206"/>
    </row>
    <row r="21" spans="2:42" ht="9" customHeight="1">
      <c r="B21" s="140"/>
      <c r="C21" s="351"/>
      <c r="D21" s="351"/>
      <c r="E21" s="351"/>
      <c r="F21" s="351"/>
      <c r="G21" s="351"/>
      <c r="H21" s="351"/>
      <c r="I21" s="351"/>
      <c r="J21" s="351"/>
      <c r="K21" s="351"/>
      <c r="L21" s="351"/>
      <c r="M21" s="351"/>
      <c r="N21" s="351"/>
      <c r="O21" s="351"/>
      <c r="P21" s="351"/>
      <c r="Q21" s="351"/>
      <c r="R21" s="351"/>
      <c r="S21" s="351"/>
      <c r="T21" s="351"/>
      <c r="U21" s="352"/>
      <c r="V21" s="1200"/>
      <c r="W21" s="1052"/>
      <c r="X21" s="1052"/>
      <c r="Y21" s="1052"/>
      <c r="Z21" s="1052"/>
      <c r="AA21" s="1052"/>
      <c r="AB21" s="1052"/>
      <c r="AC21" s="1052"/>
      <c r="AD21" s="1052"/>
      <c r="AE21" s="1052"/>
      <c r="AF21" s="1052"/>
      <c r="AG21" s="1052"/>
      <c r="AH21" s="1052"/>
      <c r="AI21" s="1052"/>
      <c r="AJ21" s="1052"/>
      <c r="AK21" s="1052"/>
      <c r="AL21" s="1052"/>
      <c r="AM21" s="1052"/>
      <c r="AN21" s="1064"/>
      <c r="AO21" s="1064"/>
      <c r="AP21" s="1206"/>
    </row>
    <row r="22" spans="2:42" ht="9" customHeight="1">
      <c r="B22" s="140"/>
      <c r="C22" s="351"/>
      <c r="D22" s="351"/>
      <c r="E22" s="351"/>
      <c r="F22" s="351"/>
      <c r="G22" s="351"/>
      <c r="H22" s="351"/>
      <c r="I22" s="351"/>
      <c r="J22" s="351"/>
      <c r="K22" s="351"/>
      <c r="L22" s="351"/>
      <c r="M22" s="351"/>
      <c r="N22" s="351"/>
      <c r="O22" s="351"/>
      <c r="P22" s="351"/>
      <c r="Q22" s="351"/>
      <c r="R22" s="351"/>
      <c r="S22" s="351"/>
      <c r="T22" s="351"/>
      <c r="U22" s="352"/>
      <c r="V22" s="1202" t="str">
        <f>IF(V19&lt;&gt;" ",VLOOKUP(V19,$F$41:$H$71,2)," ")</f>
        <v>Eulalia</v>
      </c>
      <c r="W22" s="1050"/>
      <c r="X22" s="1050"/>
      <c r="Y22" s="1050" t="str">
        <f>IF(Y19&lt;&gt;" ",VLOOKUP(Y19,$F$41:$H$71,2)," ")</f>
        <v>Benigno/Beatriz</v>
      </c>
      <c r="Z22" s="1050"/>
      <c r="AA22" s="1050"/>
      <c r="AB22" s="1050" t="str">
        <f>IF(AB19&lt;&gt;" ",VLOOKUP(AB19,$F$41:$H$71,2)," ")</f>
        <v>Valentín</v>
      </c>
      <c r="AC22" s="1050"/>
      <c r="AD22" s="1050"/>
      <c r="AE22" s="1050" t="str">
        <f>IF(AE19&lt;&gt;" ",VLOOKUP(AE19,$F$41:$H$71,2)," ")</f>
        <v>Faustino</v>
      </c>
      <c r="AF22" s="1050"/>
      <c r="AG22" s="1050"/>
      <c r="AH22" s="1050" t="str">
        <f>IF(AH19&lt;&gt;" ",VLOOKUP(AH19,$F$41:$H$71,2)," ")</f>
        <v>Elías/Samuel</v>
      </c>
      <c r="AI22" s="1050"/>
      <c r="AJ22" s="1050"/>
      <c r="AK22" s="1050" t="str">
        <f>IF(AK19&lt;&gt;" ",VLOOKUP(AK19,$F$41:$H$71,2)," ")</f>
        <v>Alexis</v>
      </c>
      <c r="AL22" s="1050"/>
      <c r="AM22" s="1050"/>
      <c r="AN22" s="1050" t="str">
        <f>IF(AN19&lt;&gt;" ",VLOOKUP(AN19,$F$41:$H$71,2)," ")</f>
        <v>Eladio</v>
      </c>
      <c r="AO22" s="1050"/>
      <c r="AP22" s="1223"/>
    </row>
    <row r="23" spans="2:42" ht="9" customHeight="1">
      <c r="B23" s="140"/>
      <c r="C23" s="351"/>
      <c r="D23" s="351"/>
      <c r="E23" s="351"/>
      <c r="F23" s="351"/>
      <c r="G23" s="351"/>
      <c r="H23" s="351"/>
      <c r="I23" s="351"/>
      <c r="J23" s="351"/>
      <c r="K23" s="351"/>
      <c r="L23" s="351"/>
      <c r="M23" s="351"/>
      <c r="N23" s="351"/>
      <c r="O23" s="351"/>
      <c r="P23" s="351"/>
      <c r="Q23" s="351"/>
      <c r="R23" s="351"/>
      <c r="S23" s="351"/>
      <c r="T23" s="351"/>
      <c r="U23" s="352"/>
      <c r="V23" s="1200">
        <f>año!K9</f>
        <v>19</v>
      </c>
      <c r="W23" s="1052"/>
      <c r="X23" s="1052"/>
      <c r="Y23" s="1052">
        <f>año!L9</f>
        <v>20</v>
      </c>
      <c r="Z23" s="1052"/>
      <c r="AA23" s="1052"/>
      <c r="AB23" s="1052">
        <f>año!M9</f>
        <v>21</v>
      </c>
      <c r="AC23" s="1052"/>
      <c r="AD23" s="1052"/>
      <c r="AE23" s="1052">
        <f>año!N9</f>
        <v>22</v>
      </c>
      <c r="AF23" s="1052"/>
      <c r="AG23" s="1052"/>
      <c r="AH23" s="1052">
        <f>año!O9</f>
        <v>23</v>
      </c>
      <c r="AI23" s="1052"/>
      <c r="AJ23" s="1052"/>
      <c r="AK23" s="1052">
        <f>año!P9</f>
        <v>24</v>
      </c>
      <c r="AL23" s="1052"/>
      <c r="AM23" s="1052"/>
      <c r="AN23" s="1064">
        <f>año!Q9</f>
        <v>25</v>
      </c>
      <c r="AO23" s="1064"/>
      <c r="AP23" s="1206"/>
    </row>
    <row r="24" spans="2:42" ht="9" customHeight="1">
      <c r="B24" s="140"/>
      <c r="C24" s="351"/>
      <c r="D24" s="351"/>
      <c r="E24" s="351"/>
      <c r="F24" s="351"/>
      <c r="G24" s="351"/>
      <c r="H24" s="351"/>
      <c r="I24" s="351"/>
      <c r="J24" s="351"/>
      <c r="K24" s="351"/>
      <c r="L24" s="351"/>
      <c r="M24" s="351"/>
      <c r="N24" s="351"/>
      <c r="O24" s="351"/>
      <c r="P24" s="351"/>
      <c r="Q24" s="351"/>
      <c r="R24" s="351"/>
      <c r="S24" s="351"/>
      <c r="T24" s="351"/>
      <c r="U24" s="352"/>
      <c r="V24" s="1200"/>
      <c r="W24" s="1052"/>
      <c r="X24" s="1052"/>
      <c r="Y24" s="1052"/>
      <c r="Z24" s="1052"/>
      <c r="AA24" s="1052"/>
      <c r="AB24" s="1052"/>
      <c r="AC24" s="1052"/>
      <c r="AD24" s="1052"/>
      <c r="AE24" s="1052"/>
      <c r="AF24" s="1052"/>
      <c r="AG24" s="1052"/>
      <c r="AH24" s="1052"/>
      <c r="AI24" s="1052"/>
      <c r="AJ24" s="1052"/>
      <c r="AK24" s="1052"/>
      <c r="AL24" s="1052"/>
      <c r="AM24" s="1052"/>
      <c r="AN24" s="1064"/>
      <c r="AO24" s="1064"/>
      <c r="AP24" s="1206"/>
    </row>
    <row r="25" spans="2:42" ht="9" customHeight="1">
      <c r="B25" s="140"/>
      <c r="C25" s="351"/>
      <c r="D25" s="351"/>
      <c r="E25" s="351"/>
      <c r="F25" s="351"/>
      <c r="G25" s="351"/>
      <c r="H25" s="351"/>
      <c r="I25" s="351"/>
      <c r="J25" s="351"/>
      <c r="K25" s="351"/>
      <c r="L25" s="351"/>
      <c r="M25" s="351"/>
      <c r="N25" s="351"/>
      <c r="O25" s="351"/>
      <c r="P25" s="351"/>
      <c r="Q25" s="351"/>
      <c r="R25" s="351"/>
      <c r="S25" s="351"/>
      <c r="T25" s="351"/>
      <c r="U25" s="352"/>
      <c r="V25" s="1200"/>
      <c r="W25" s="1052"/>
      <c r="X25" s="1052"/>
      <c r="Y25" s="1052"/>
      <c r="Z25" s="1052"/>
      <c r="AA25" s="1052"/>
      <c r="AB25" s="1052"/>
      <c r="AC25" s="1052"/>
      <c r="AD25" s="1052"/>
      <c r="AE25" s="1052"/>
      <c r="AF25" s="1052"/>
      <c r="AG25" s="1052"/>
      <c r="AH25" s="1052"/>
      <c r="AI25" s="1052"/>
      <c r="AJ25" s="1052"/>
      <c r="AK25" s="1052"/>
      <c r="AL25" s="1052"/>
      <c r="AM25" s="1052"/>
      <c r="AN25" s="1064"/>
      <c r="AO25" s="1064"/>
      <c r="AP25" s="1206"/>
    </row>
    <row r="26" spans="2:42" ht="9" customHeight="1">
      <c r="B26" s="140"/>
      <c r="C26" s="351"/>
      <c r="D26" s="351"/>
      <c r="E26" s="351"/>
      <c r="F26" s="351"/>
      <c r="G26" s="351"/>
      <c r="H26" s="351"/>
      <c r="I26" s="351"/>
      <c r="J26" s="351"/>
      <c r="K26" s="351"/>
      <c r="L26" s="351"/>
      <c r="M26" s="351"/>
      <c r="N26" s="351"/>
      <c r="O26" s="351"/>
      <c r="P26" s="351"/>
      <c r="Q26" s="351"/>
      <c r="R26" s="351"/>
      <c r="S26" s="351"/>
      <c r="T26" s="351"/>
      <c r="U26" s="352"/>
      <c r="V26" s="1202" t="str">
        <f>IF(V23&lt;&gt;" ",VLOOKUP(V23,$F$41:$H$71,2)," ")</f>
        <v>Álvaro</v>
      </c>
      <c r="W26" s="1050"/>
      <c r="X26" s="1050"/>
      <c r="Y26" s="1050" t="str">
        <f>IF(Y23&lt;&gt;" ",VLOOKUP(Y23,$F$41:$H$71,2)," ")</f>
        <v>Eleuterio</v>
      </c>
      <c r="Z26" s="1050"/>
      <c r="AA26" s="1050"/>
      <c r="AB26" s="1050" t="str">
        <f>IF(AB23&lt;&gt;" ",VLOOKUP(AB23,$F$41:$H$71,2)," ")</f>
        <v>Pedro Damián</v>
      </c>
      <c r="AC26" s="1050"/>
      <c r="AD26" s="1050"/>
      <c r="AE26" s="1050" t="str">
        <f>IF(AE23&lt;&gt;" ",VLOOKUP(AE23,$F$41:$H$71,2)," ")</f>
        <v>Leonor</v>
      </c>
      <c r="AF26" s="1050"/>
      <c r="AG26" s="1050"/>
      <c r="AH26" s="1050" t="str">
        <f>IF(AH23&lt;&gt;" ",VLOOKUP(AH23,$F$41:$H$71,2)," ")</f>
        <v>Florencio</v>
      </c>
      <c r="AI26" s="1050"/>
      <c r="AJ26" s="1050"/>
      <c r="AK26" s="1050" t="str">
        <f>IF(AK23&lt;&gt;" ",VLOOKUP(AK23,$F$41:$H$71,2)," ")</f>
        <v>Rubén/Sergio</v>
      </c>
      <c r="AL26" s="1050"/>
      <c r="AM26" s="1050"/>
      <c r="AN26" s="1050" t="str">
        <f>IF(AN23&lt;&gt;" ",VLOOKUP(AN23,$F$41:$H$71,2)," ")</f>
        <v>Jacinta</v>
      </c>
      <c r="AO26" s="1050"/>
      <c r="AP26" s="1223"/>
    </row>
    <row r="27" spans="2:42" ht="9" customHeight="1">
      <c r="B27" s="140"/>
      <c r="C27" s="351"/>
      <c r="D27" s="351"/>
      <c r="E27" s="351"/>
      <c r="F27" s="351"/>
      <c r="G27" s="351"/>
      <c r="H27" s="351"/>
      <c r="I27" s="351"/>
      <c r="J27" s="351"/>
      <c r="K27" s="351"/>
      <c r="L27" s="351"/>
      <c r="M27" s="351"/>
      <c r="N27" s="351"/>
      <c r="O27" s="351"/>
      <c r="P27" s="351"/>
      <c r="Q27" s="351"/>
      <c r="R27" s="351"/>
      <c r="S27" s="351"/>
      <c r="T27" s="351"/>
      <c r="U27" s="352"/>
      <c r="V27" s="1200">
        <f>año!K10</f>
        <v>26</v>
      </c>
      <c r="W27" s="1052"/>
      <c r="X27" s="1052"/>
      <c r="Y27" s="1052">
        <f>año!L10</f>
        <v>27</v>
      </c>
      <c r="Z27" s="1052"/>
      <c r="AA27" s="1052"/>
      <c r="AB27" s="1210">
        <f>año!M10</f>
        <v>28</v>
      </c>
      <c r="AC27" s="1210"/>
      <c r="AD27" s="1210"/>
      <c r="AE27" s="1052">
        <f>año!N10</f>
        <v>29</v>
      </c>
      <c r="AF27" s="1052"/>
      <c r="AG27" s="1052"/>
      <c r="AH27" s="1052" t="str">
        <f>año!O10</f>
        <v xml:space="preserve"> </v>
      </c>
      <c r="AI27" s="1052"/>
      <c r="AJ27" s="1052"/>
      <c r="AK27" s="1052" t="str">
        <f>año!P10</f>
        <v xml:space="preserve"> </v>
      </c>
      <c r="AL27" s="1052"/>
      <c r="AM27" s="1052"/>
      <c r="AN27" s="1064" t="str">
        <f>año!Q10</f>
        <v xml:space="preserve"> </v>
      </c>
      <c r="AO27" s="1064"/>
      <c r="AP27" s="1206"/>
    </row>
    <row r="28" spans="2:42" ht="9" customHeight="1">
      <c r="B28" s="140"/>
      <c r="C28" s="351"/>
      <c r="D28" s="351"/>
      <c r="E28" s="351"/>
      <c r="F28" s="351"/>
      <c r="G28" s="351"/>
      <c r="H28" s="351"/>
      <c r="I28" s="351"/>
      <c r="J28" s="351"/>
      <c r="K28" s="351"/>
      <c r="L28" s="351"/>
      <c r="M28" s="351"/>
      <c r="N28" s="351"/>
      <c r="O28" s="351"/>
      <c r="P28" s="351"/>
      <c r="Q28" s="351"/>
      <c r="R28" s="351"/>
      <c r="S28" s="351"/>
      <c r="T28" s="351"/>
      <c r="U28" s="352"/>
      <c r="V28" s="1200"/>
      <c r="W28" s="1052"/>
      <c r="X28" s="1052"/>
      <c r="Y28" s="1052"/>
      <c r="Z28" s="1052"/>
      <c r="AA28" s="1052"/>
      <c r="AB28" s="1210"/>
      <c r="AC28" s="1210"/>
      <c r="AD28" s="1210"/>
      <c r="AE28" s="1052"/>
      <c r="AF28" s="1052"/>
      <c r="AG28" s="1052"/>
      <c r="AH28" s="1052"/>
      <c r="AI28" s="1052"/>
      <c r="AJ28" s="1052"/>
      <c r="AK28" s="1052"/>
      <c r="AL28" s="1052"/>
      <c r="AM28" s="1052"/>
      <c r="AN28" s="1064"/>
      <c r="AO28" s="1064"/>
      <c r="AP28" s="1206"/>
    </row>
    <row r="29" spans="2:42" ht="9" customHeight="1">
      <c r="B29" s="140"/>
      <c r="C29" s="351"/>
      <c r="D29" s="351"/>
      <c r="E29" s="351"/>
      <c r="F29" s="351"/>
      <c r="G29" s="351"/>
      <c r="H29" s="351"/>
      <c r="I29" s="351"/>
      <c r="J29" s="351"/>
      <c r="K29" s="351"/>
      <c r="L29" s="351"/>
      <c r="M29" s="351"/>
      <c r="N29" s="351"/>
      <c r="O29" s="351"/>
      <c r="P29" s="351"/>
      <c r="Q29" s="351"/>
      <c r="R29" s="351"/>
      <c r="S29" s="351"/>
      <c r="T29" s="351"/>
      <c r="U29" s="352"/>
      <c r="V29" s="1200"/>
      <c r="W29" s="1052"/>
      <c r="X29" s="1052"/>
      <c r="Y29" s="1052"/>
      <c r="Z29" s="1052"/>
      <c r="AA29" s="1052"/>
      <c r="AB29" s="1210"/>
      <c r="AC29" s="1210"/>
      <c r="AD29" s="1210"/>
      <c r="AE29" s="1052"/>
      <c r="AF29" s="1052"/>
      <c r="AG29" s="1052"/>
      <c r="AH29" s="1052"/>
      <c r="AI29" s="1052"/>
      <c r="AJ29" s="1052"/>
      <c r="AK29" s="1052"/>
      <c r="AL29" s="1052"/>
      <c r="AM29" s="1052"/>
      <c r="AN29" s="1064"/>
      <c r="AO29" s="1064"/>
      <c r="AP29" s="1206"/>
    </row>
    <row r="30" spans="2:42" ht="9" customHeight="1">
      <c r="B30" s="140"/>
      <c r="C30" s="351"/>
      <c r="D30" s="351"/>
      <c r="E30" s="351"/>
      <c r="F30" s="351"/>
      <c r="G30" s="351"/>
      <c r="H30" s="351"/>
      <c r="I30" s="351"/>
      <c r="J30" s="351"/>
      <c r="K30" s="351"/>
      <c r="L30" s="351"/>
      <c r="M30" s="351"/>
      <c r="N30" s="351"/>
      <c r="O30" s="351"/>
      <c r="P30" s="351"/>
      <c r="Q30" s="351"/>
      <c r="R30" s="351"/>
      <c r="S30" s="351"/>
      <c r="T30" s="351"/>
      <c r="U30" s="352"/>
      <c r="V30" s="1202" t="str">
        <f>IF(V27&lt;&gt;" ",VLOOKUP(V27,$F$41:$H$71,2)," ")</f>
        <v>Paula Montal</v>
      </c>
      <c r="W30" s="1050"/>
      <c r="X30" s="1050"/>
      <c r="Y30" s="1050" t="str">
        <f>IF(Y27&lt;&gt;" ",VLOOKUP(Y27,$F$41:$H$71,2)," ")</f>
        <v>Gabriel</v>
      </c>
      <c r="Z30" s="1050"/>
      <c r="AA30" s="1050"/>
      <c r="AB30" s="1050" t="str">
        <f>IF(AB27&lt;&gt;" ",VLOOKUP(AB27,$F$41:$H$71,2)," ")</f>
        <v>Dia Andalucía</v>
      </c>
      <c r="AC30" s="1050"/>
      <c r="AD30" s="1050"/>
      <c r="AE30" s="1050" t="str">
        <f>IF(AE27&lt;&gt;" ",VLOOKUP(AE27,$F$41:$H$71,2)," ")</f>
        <v>Rufino/Rosendo</v>
      </c>
      <c r="AF30" s="1050"/>
      <c r="AG30" s="1050"/>
      <c r="AH30" s="1050" t="str">
        <f>IF(AH27&lt;&gt;" ",VLOOKUP(AH27,$F$41:$H$71,2)," ")</f>
        <v xml:space="preserve"> </v>
      </c>
      <c r="AI30" s="1050"/>
      <c r="AJ30" s="1050"/>
      <c r="AK30" s="1050" t="str">
        <f>IF(AK27&lt;&gt;" ",VLOOKUP(AK27,$F$41:$H$71,2)," ")</f>
        <v xml:space="preserve"> </v>
      </c>
      <c r="AL30" s="1050"/>
      <c r="AM30" s="1050"/>
      <c r="AN30" s="1050" t="str">
        <f>IF(AN27&lt;&gt;" ",VLOOKUP(AN27,$F$41:$H$71,2)," ")</f>
        <v xml:space="preserve"> </v>
      </c>
      <c r="AO30" s="1050"/>
      <c r="AP30" s="1223"/>
    </row>
    <row r="31" spans="2:42" ht="10.5" customHeight="1">
      <c r="B31" s="1207" t="s">
        <v>993</v>
      </c>
      <c r="C31" s="782"/>
      <c r="D31" s="782"/>
      <c r="E31" s="782"/>
      <c r="F31" s="782"/>
      <c r="G31" s="782"/>
      <c r="H31" s="782"/>
      <c r="I31" s="782"/>
      <c r="J31" s="782"/>
      <c r="K31" s="782"/>
      <c r="L31" s="782"/>
      <c r="M31" s="782"/>
      <c r="N31" s="782"/>
      <c r="O31" s="782"/>
      <c r="P31" s="782"/>
      <c r="Q31" s="782"/>
      <c r="R31" s="782"/>
      <c r="S31" s="782"/>
      <c r="T31" s="782"/>
      <c r="U31" s="782"/>
      <c r="V31" s="1200" t="str">
        <f>año!K11</f>
        <v xml:space="preserve"> </v>
      </c>
      <c r="W31" s="1052"/>
      <c r="X31" s="1052"/>
      <c r="Y31" s="1052" t="str">
        <f>año!L11</f>
        <v xml:space="preserve"> </v>
      </c>
      <c r="Z31" s="1052"/>
      <c r="AA31" s="1052"/>
      <c r="AB31" s="1052" t="str">
        <f>año!M11</f>
        <v xml:space="preserve"> </v>
      </c>
      <c r="AC31" s="1052"/>
      <c r="AD31" s="1052"/>
      <c r="AE31" s="189"/>
      <c r="AF31" s="194"/>
      <c r="AG31" s="192"/>
      <c r="AH31" s="194"/>
      <c r="AI31" s="194"/>
      <c r="AJ31" s="192"/>
      <c r="AK31" s="194"/>
      <c r="AL31" s="194"/>
      <c r="AM31" s="192"/>
      <c r="AN31" s="193"/>
      <c r="AO31" s="194"/>
      <c r="AP31" s="364"/>
    </row>
    <row r="32" spans="2:42" ht="10.5" customHeight="1">
      <c r="B32" s="1207"/>
      <c r="C32" s="782"/>
      <c r="D32" s="782"/>
      <c r="E32" s="782"/>
      <c r="F32" s="782"/>
      <c r="G32" s="782"/>
      <c r="H32" s="782"/>
      <c r="I32" s="782"/>
      <c r="J32" s="782"/>
      <c r="K32" s="782"/>
      <c r="L32" s="782"/>
      <c r="M32" s="782"/>
      <c r="N32" s="782"/>
      <c r="O32" s="782"/>
      <c r="P32" s="782"/>
      <c r="Q32" s="782"/>
      <c r="R32" s="782"/>
      <c r="S32" s="782"/>
      <c r="T32" s="782"/>
      <c r="U32" s="782"/>
      <c r="V32" s="1200"/>
      <c r="W32" s="1052"/>
      <c r="X32" s="1052"/>
      <c r="Y32" s="1052"/>
      <c r="Z32" s="1052"/>
      <c r="AA32" s="1052"/>
      <c r="AB32" s="1052"/>
      <c r="AC32" s="1052"/>
      <c r="AD32" s="1052"/>
      <c r="AE32" s="189"/>
      <c r="AF32" s="194"/>
      <c r="AG32" s="192" t="s">
        <v>247</v>
      </c>
      <c r="AH32" s="194"/>
      <c r="AI32" s="194"/>
      <c r="AJ32" s="192" t="s">
        <v>247</v>
      </c>
      <c r="AK32" s="194"/>
      <c r="AL32" s="194"/>
      <c r="AM32" s="192" t="s">
        <v>247</v>
      </c>
      <c r="AN32" s="193"/>
      <c r="AO32" s="194"/>
      <c r="AP32" s="364" t="s">
        <v>247</v>
      </c>
    </row>
    <row r="33" spans="2:46" ht="10.5" customHeight="1">
      <c r="B33" s="1207"/>
      <c r="C33" s="782"/>
      <c r="D33" s="782"/>
      <c r="E33" s="782"/>
      <c r="F33" s="782"/>
      <c r="G33" s="782"/>
      <c r="H33" s="782"/>
      <c r="I33" s="782"/>
      <c r="J33" s="782"/>
      <c r="K33" s="782"/>
      <c r="L33" s="782"/>
      <c r="M33" s="782"/>
      <c r="N33" s="782"/>
      <c r="O33" s="782"/>
      <c r="P33" s="782"/>
      <c r="Q33" s="782"/>
      <c r="R33" s="782"/>
      <c r="S33" s="782"/>
      <c r="T33" s="782"/>
      <c r="U33" s="782"/>
      <c r="V33" s="1200"/>
      <c r="W33" s="1052"/>
      <c r="X33" s="1052"/>
      <c r="Y33" s="1052"/>
      <c r="Z33" s="1052"/>
      <c r="AA33" s="1052"/>
      <c r="AB33" s="1052"/>
      <c r="AC33" s="1052"/>
      <c r="AD33" s="1052"/>
      <c r="AE33" s="189"/>
      <c r="AF33" s="1067">
        <f>luna!$O$64</f>
        <v>24</v>
      </c>
      <c r="AG33" s="1068"/>
      <c r="AH33" s="194"/>
      <c r="AI33" s="1073">
        <f>luna!$R$64</f>
        <v>1</v>
      </c>
      <c r="AJ33" s="1068"/>
      <c r="AK33" s="194"/>
      <c r="AL33" s="1073">
        <f>luna!$Q$64</f>
        <v>10</v>
      </c>
      <c r="AM33" s="1068"/>
      <c r="AN33" s="193"/>
      <c r="AO33" s="1067">
        <f>luna!$P$64</f>
        <v>17</v>
      </c>
      <c r="AP33" s="1228"/>
    </row>
    <row r="34" spans="2:46" ht="9" customHeight="1">
      <c r="B34" s="366"/>
      <c r="C34" s="180"/>
      <c r="D34" s="180"/>
      <c r="E34" s="180"/>
      <c r="F34" s="180"/>
      <c r="G34" s="180"/>
      <c r="H34" s="180"/>
      <c r="I34" s="180"/>
      <c r="J34" s="180"/>
      <c r="K34" s="180"/>
      <c r="L34" s="180"/>
      <c r="M34" s="180"/>
      <c r="N34" s="180"/>
      <c r="O34" s="180"/>
      <c r="P34" s="180"/>
      <c r="Q34" s="180"/>
      <c r="R34" s="180"/>
      <c r="S34" s="180"/>
      <c r="T34" s="180"/>
      <c r="U34" s="180"/>
      <c r="V34" s="1202"/>
      <c r="W34" s="1050"/>
      <c r="X34" s="1050"/>
      <c r="Y34" s="1050"/>
      <c r="Z34" s="1050"/>
      <c r="AA34" s="1050"/>
      <c r="AB34" s="355"/>
      <c r="AC34" s="183"/>
      <c r="AD34" s="183"/>
      <c r="AE34" s="1078" t="s">
        <v>597</v>
      </c>
      <c r="AF34" s="1079"/>
      <c r="AG34" s="1080"/>
      <c r="AH34" s="1204" t="s">
        <v>598</v>
      </c>
      <c r="AI34" s="1204"/>
      <c r="AJ34" s="1204"/>
      <c r="AK34" s="1204" t="s">
        <v>599</v>
      </c>
      <c r="AL34" s="1204"/>
      <c r="AM34" s="1204"/>
      <c r="AN34" s="1204" t="s">
        <v>600</v>
      </c>
      <c r="AO34" s="1204"/>
      <c r="AP34" s="1205"/>
    </row>
    <row r="35" spans="2:46" ht="13.8" thickBot="1">
      <c r="B35" s="1177">
        <f>MARZO!B35</f>
        <v>45332</v>
      </c>
      <c r="C35" s="1178"/>
      <c r="D35" s="661" t="s">
        <v>384</v>
      </c>
      <c r="E35" s="661"/>
      <c r="F35" s="661"/>
      <c r="G35" s="661"/>
      <c r="H35" s="661"/>
      <c r="I35" s="658">
        <v>1</v>
      </c>
      <c r="J35" s="661" t="s">
        <v>748</v>
      </c>
      <c r="K35" s="661"/>
      <c r="L35" s="661"/>
      <c r="M35" s="661"/>
      <c r="N35" s="659">
        <f>AC38</f>
        <v>20</v>
      </c>
      <c r="O35" s="659">
        <f>AC39</f>
        <v>21</v>
      </c>
      <c r="P35" s="661" t="s">
        <v>375</v>
      </c>
      <c r="Q35" s="661"/>
      <c r="R35" s="661"/>
      <c r="S35" s="718">
        <f>AN7</f>
        <v>29</v>
      </c>
      <c r="T35" s="661" t="s">
        <v>387</v>
      </c>
      <c r="U35" s="661"/>
      <c r="V35" s="661"/>
      <c r="W35" s="661"/>
      <c r="X35" s="661" t="s">
        <v>750</v>
      </c>
      <c r="Y35" s="661"/>
      <c r="Z35" s="358"/>
      <c r="AA35" s="358"/>
      <c r="AB35" s="358"/>
      <c r="AC35" s="358"/>
      <c r="AD35" s="358"/>
      <c r="AE35" s="358"/>
      <c r="AF35" s="358"/>
      <c r="AG35" s="358"/>
      <c r="AH35" s="358"/>
      <c r="AI35" s="358"/>
      <c r="AJ35" s="358"/>
      <c r="AK35" s="358"/>
      <c r="AL35" s="358"/>
      <c r="AM35" s="358"/>
      <c r="AN35" s="358"/>
      <c r="AO35" s="358"/>
      <c r="AP35" s="367"/>
    </row>
    <row r="36" spans="2:46" ht="14.25" customHeight="1" thickBot="1">
      <c r="B36" s="1208">
        <f>S39</f>
        <v>45336</v>
      </c>
      <c r="C36" s="1209"/>
      <c r="D36" s="408" t="s">
        <v>439</v>
      </c>
      <c r="E36" s="408"/>
      <c r="F36" s="408"/>
      <c r="G36" s="408"/>
      <c r="H36" s="408"/>
      <c r="I36" s="658">
        <v>6</v>
      </c>
      <c r="J36" s="408" t="s">
        <v>377</v>
      </c>
      <c r="K36" s="408"/>
      <c r="L36" s="408"/>
      <c r="M36" s="408"/>
      <c r="N36" s="660">
        <v>19</v>
      </c>
      <c r="O36" s="408"/>
      <c r="P36" s="408" t="s">
        <v>749</v>
      </c>
      <c r="Q36" s="408"/>
      <c r="R36" s="408"/>
      <c r="S36" s="717">
        <f>AP7</f>
        <v>31</v>
      </c>
      <c r="T36" s="408" t="s">
        <v>747</v>
      </c>
      <c r="U36" s="408"/>
      <c r="V36" s="408"/>
      <c r="W36" s="639">
        <f>IF(S36=31,1,IF(S36="NO","NO",S36+1))</f>
        <v>1</v>
      </c>
      <c r="X36" s="408" t="s">
        <v>751</v>
      </c>
      <c r="Y36" s="408"/>
      <c r="Z36" s="165"/>
      <c r="AA36" s="1089" t="s">
        <v>412</v>
      </c>
      <c r="AB36" s="1090"/>
      <c r="AC36" s="1090"/>
      <c r="AD36" s="1090"/>
      <c r="AE36" s="1090"/>
      <c r="AF36" s="1090"/>
      <c r="AG36" s="1091"/>
      <c r="AH36" s="165"/>
      <c r="AI36" s="1092" t="s">
        <v>411</v>
      </c>
      <c r="AJ36" s="1093"/>
      <c r="AK36" s="1093"/>
      <c r="AL36" s="1093"/>
      <c r="AM36" s="1093"/>
      <c r="AN36" s="1093"/>
      <c r="AO36" s="1094"/>
      <c r="AP36" s="359"/>
    </row>
    <row r="37" spans="2:46" ht="13.8" thickBot="1">
      <c r="B37" s="1212">
        <f>año!$C$35</f>
        <v>45355</v>
      </c>
      <c r="C37" s="1213"/>
      <c r="D37" s="662" t="s">
        <v>875</v>
      </c>
      <c r="E37" s="662"/>
      <c r="F37" s="662"/>
      <c r="G37" s="662"/>
      <c r="H37" s="662"/>
      <c r="I37" s="702"/>
      <c r="J37" s="702"/>
      <c r="K37" s="662" t="s">
        <v>990</v>
      </c>
      <c r="L37" s="662"/>
      <c r="M37" s="662"/>
      <c r="N37" s="663">
        <f>MARZO!$O$35</f>
        <v>28</v>
      </c>
      <c r="O37" s="662"/>
      <c r="P37" s="662" t="s">
        <v>772</v>
      </c>
      <c r="Q37" s="662"/>
      <c r="R37" s="662"/>
      <c r="S37" s="662"/>
      <c r="T37" s="1211">
        <f>año!$G$33</f>
        <v>45382</v>
      </c>
      <c r="U37" s="1211"/>
      <c r="V37" s="662"/>
      <c r="W37" s="662"/>
      <c r="X37" s="662"/>
      <c r="Y37" s="662"/>
      <c r="Z37" s="360"/>
      <c r="AA37" s="360"/>
      <c r="AB37" s="360"/>
      <c r="AC37" s="360"/>
      <c r="AD37" s="360"/>
      <c r="AE37" s="360"/>
      <c r="AF37" s="360"/>
      <c r="AG37" s="360"/>
      <c r="AH37" s="360"/>
      <c r="AI37" s="360"/>
      <c r="AJ37" s="360"/>
      <c r="AK37" s="360"/>
      <c r="AL37" s="360"/>
      <c r="AM37" s="360"/>
      <c r="AN37" s="360"/>
      <c r="AO37" s="360"/>
      <c r="AP37" s="354"/>
    </row>
    <row r="38" spans="2:46" hidden="1">
      <c r="AC38">
        <f>ENERO!AD38</f>
        <v>20</v>
      </c>
      <c r="AI38">
        <f>año!AJ1</f>
        <v>31</v>
      </c>
      <c r="AJ38">
        <f>año!AK1</f>
        <v>29</v>
      </c>
      <c r="AK38">
        <f>año!AL1</f>
        <v>0</v>
      </c>
      <c r="AL38" t="str">
        <f>año!AM1</f>
        <v>Pasqua</v>
      </c>
      <c r="AO38">
        <f>año!$AJ$10</f>
        <v>14</v>
      </c>
    </row>
    <row r="39" spans="2:46" hidden="1">
      <c r="B39" t="str">
        <f>MARZO!B39</f>
        <v>no</v>
      </c>
      <c r="C39">
        <f>MARZO!C39</f>
        <v>4</v>
      </c>
      <c r="S39" s="1203">
        <f>año!AJ8</f>
        <v>45336</v>
      </c>
      <c r="T39" s="1203"/>
      <c r="U39">
        <f>año!AL8</f>
        <v>0</v>
      </c>
      <c r="V39" t="str">
        <f>año!AM8</f>
        <v>Cendra</v>
      </c>
      <c r="W39">
        <f>año!AN8</f>
        <v>0</v>
      </c>
      <c r="AC39">
        <f>ENERO!AD39</f>
        <v>21</v>
      </c>
      <c r="AI39" t="str">
        <f>año!AJ2</f>
        <v>NO</v>
      </c>
      <c r="AJ39" t="str">
        <f>año!AK2</f>
        <v/>
      </c>
      <c r="AK39">
        <f>año!AL2</f>
        <v>0</v>
      </c>
      <c r="AL39" s="1134">
        <f>año!AM2</f>
        <v>45382</v>
      </c>
      <c r="AM39" s="1134"/>
    </row>
    <row r="40" spans="2:46" hidden="1">
      <c r="B40">
        <f>MARZO!B40</f>
        <v>3</v>
      </c>
      <c r="C40">
        <f>MARZO!C40</f>
        <v>0</v>
      </c>
      <c r="S40">
        <f>año!AJ9</f>
        <v>14</v>
      </c>
      <c r="T40">
        <f>año!AK9</f>
        <v>2</v>
      </c>
      <c r="U40">
        <f>año!AL9</f>
        <v>0</v>
      </c>
      <c r="V40">
        <f>año!AM9</f>
        <v>0</v>
      </c>
      <c r="W40">
        <f>año!AN9</f>
        <v>0</v>
      </c>
    </row>
    <row r="41" spans="2:46" ht="14.4" hidden="1">
      <c r="F41" s="175">
        <v>1</v>
      </c>
      <c r="G41" s="175" t="s">
        <v>606</v>
      </c>
      <c r="S41">
        <f>año!AJ10</f>
        <v>14</v>
      </c>
      <c r="T41">
        <f>año!AK10</f>
        <v>0</v>
      </c>
      <c r="U41">
        <f>año!AL10</f>
        <v>0</v>
      </c>
      <c r="V41">
        <f>año!AM10</f>
        <v>0</v>
      </c>
      <c r="W41">
        <f>año!AN10</f>
        <v>0</v>
      </c>
      <c r="X41">
        <f>MARZO!M38</f>
        <v>8</v>
      </c>
      <c r="Y41">
        <f>MARZO!N38</f>
        <v>4</v>
      </c>
      <c r="Z41">
        <f>MARZO!O38</f>
        <v>0</v>
      </c>
      <c r="AA41" s="1201" t="str">
        <f>MARZO!P38</f>
        <v>Dijous Sant</v>
      </c>
      <c r="AB41" s="1147"/>
      <c r="AC41" s="1147"/>
      <c r="AT41" s="327"/>
    </row>
    <row r="42" spans="2:46" ht="14.4" hidden="1">
      <c r="F42" s="175">
        <v>2</v>
      </c>
      <c r="G42" s="175" t="s">
        <v>607</v>
      </c>
      <c r="S42" t="str">
        <f>año!AJ11</f>
        <v>NO</v>
      </c>
      <c r="T42">
        <f>año!AK11</f>
        <v>0</v>
      </c>
      <c r="U42">
        <f>año!AL11</f>
        <v>0</v>
      </c>
      <c r="V42">
        <f>año!AM11</f>
        <v>0</v>
      </c>
      <c r="W42">
        <f>año!AN11</f>
        <v>0</v>
      </c>
      <c r="X42" t="str">
        <f>MARZO!M39</f>
        <v>NO</v>
      </c>
      <c r="AT42" s="327"/>
    </row>
    <row r="43" spans="2:46" ht="14.4" hidden="1">
      <c r="F43" s="175">
        <v>3</v>
      </c>
      <c r="G43" s="175" t="s">
        <v>428</v>
      </c>
      <c r="X43">
        <f>MARZO!M40</f>
        <v>8</v>
      </c>
      <c r="AH43">
        <f>MARZO!AF41</f>
        <v>0</v>
      </c>
      <c r="AT43" s="327"/>
    </row>
    <row r="44" spans="2:46" ht="14.4" hidden="1">
      <c r="F44" s="175">
        <v>4</v>
      </c>
      <c r="G44" s="175" t="s">
        <v>608</v>
      </c>
      <c r="X44" t="str">
        <f>MARZO!M41</f>
        <v>NO</v>
      </c>
      <c r="AB44" s="1138"/>
      <c r="AC44" s="1138"/>
      <c r="AH44">
        <f>MARZO!AF42</f>
        <v>0</v>
      </c>
      <c r="AT44" s="327"/>
    </row>
    <row r="45" spans="2:46" ht="14.4" hidden="1">
      <c r="F45" s="175">
        <v>5</v>
      </c>
      <c r="G45" s="175" t="s">
        <v>429</v>
      </c>
      <c r="AB45" s="1147"/>
      <c r="AC45" s="1147"/>
      <c r="AD45" s="1147"/>
      <c r="AH45">
        <f>MARZO!AF43</f>
        <v>4</v>
      </c>
      <c r="AT45" s="327"/>
    </row>
    <row r="46" spans="2:46" ht="14.4" hidden="1">
      <c r="F46" s="175">
        <v>6</v>
      </c>
      <c r="G46" s="175" t="s">
        <v>430</v>
      </c>
      <c r="AB46" s="1147"/>
      <c r="AC46" s="930"/>
      <c r="AD46" s="930"/>
      <c r="AT46" s="327"/>
    </row>
    <row r="47" spans="2:46" ht="14.4" hidden="1">
      <c r="F47" s="175">
        <v>7</v>
      </c>
      <c r="G47" s="175" t="s">
        <v>457</v>
      </c>
      <c r="K47" s="213" t="str">
        <f>MARZO!L42</f>
        <v>1erVac</v>
      </c>
      <c r="L47" s="213">
        <f>MARZO!M42</f>
        <v>28</v>
      </c>
      <c r="M47" s="213">
        <f>MARZO!N42</f>
        <v>28</v>
      </c>
      <c r="N47" s="213">
        <f>MARZO!O42</f>
        <v>1</v>
      </c>
      <c r="O47" s="213" t="str">
        <f>MARZO!P42</f>
        <v>no</v>
      </c>
      <c r="P47" s="213" t="str">
        <f>MARZO!Q42</f>
        <v>no</v>
      </c>
      <c r="Q47" s="213" t="str">
        <f>MARZO!R42</f>
        <v>no</v>
      </c>
      <c r="AH47">
        <f>MARZO!AF45</f>
        <v>0</v>
      </c>
      <c r="AT47" s="327"/>
    </row>
    <row r="48" spans="2:46" ht="14.4" hidden="1">
      <c r="F48" s="175">
        <v>8</v>
      </c>
      <c r="G48" s="175" t="s">
        <v>549</v>
      </c>
      <c r="K48" s="213" t="str">
        <f>MARZO!L43</f>
        <v>Darrer</v>
      </c>
      <c r="L48" s="213">
        <f>MARZO!M43</f>
        <v>31</v>
      </c>
      <c r="M48" s="213">
        <f>MARZO!N43</f>
        <v>31</v>
      </c>
      <c r="N48" s="213">
        <f>MARZO!O43</f>
        <v>8</v>
      </c>
      <c r="O48" s="213" t="str">
        <f>MARZO!P43</f>
        <v>no</v>
      </c>
      <c r="P48" s="213" t="str">
        <f>MARZO!Q43</f>
        <v>no</v>
      </c>
      <c r="Q48" s="213" t="str">
        <f>MARZO!R43</f>
        <v>no</v>
      </c>
      <c r="AT48" s="327"/>
    </row>
    <row r="49" spans="6:46" ht="14.4" hidden="1">
      <c r="F49" s="175">
        <v>9</v>
      </c>
      <c r="G49" s="215" t="s">
        <v>887</v>
      </c>
      <c r="AT49" s="327"/>
    </row>
    <row r="50" spans="6:46" ht="14.4" hidden="1">
      <c r="F50" s="175">
        <v>10</v>
      </c>
      <c r="G50" s="175" t="s">
        <v>609</v>
      </c>
      <c r="AT50" s="327"/>
    </row>
    <row r="51" spans="6:46" ht="14.4" hidden="1">
      <c r="F51" s="175">
        <v>11</v>
      </c>
      <c r="G51" s="175" t="s">
        <v>431</v>
      </c>
      <c r="AT51" s="327"/>
    </row>
    <row r="52" spans="6:46" ht="14.4" hidden="1">
      <c r="F52" s="175">
        <v>12</v>
      </c>
      <c r="G52" s="175" t="s">
        <v>432</v>
      </c>
      <c r="AT52" s="327"/>
    </row>
    <row r="53" spans="6:46" ht="14.4" hidden="1">
      <c r="F53" s="175">
        <v>13</v>
      </c>
      <c r="G53" s="215" t="s">
        <v>888</v>
      </c>
      <c r="AT53" s="327"/>
    </row>
    <row r="54" spans="6:46" ht="14.4" hidden="1">
      <c r="F54" s="175">
        <v>14</v>
      </c>
      <c r="G54" s="175" t="s">
        <v>433</v>
      </c>
      <c r="AT54" s="327"/>
    </row>
    <row r="55" spans="6:46" ht="14.4" hidden="1">
      <c r="F55" s="175">
        <v>15</v>
      </c>
      <c r="G55" s="175" t="s">
        <v>434</v>
      </c>
      <c r="AT55" s="327"/>
    </row>
    <row r="56" spans="6:46" ht="14.4" hidden="1">
      <c r="F56" s="175">
        <v>16</v>
      </c>
      <c r="G56" s="215" t="s">
        <v>889</v>
      </c>
      <c r="AT56" s="327"/>
    </row>
    <row r="57" spans="6:46" ht="14.4" hidden="1">
      <c r="F57" s="175">
        <v>17</v>
      </c>
      <c r="G57" s="215" t="s">
        <v>884</v>
      </c>
      <c r="AT57" s="327"/>
    </row>
    <row r="58" spans="6:46" ht="14.4" hidden="1">
      <c r="F58" s="175">
        <v>18</v>
      </c>
      <c r="G58" s="175" t="s">
        <v>610</v>
      </c>
      <c r="AT58" s="327"/>
    </row>
    <row r="59" spans="6:46" ht="14.4" hidden="1">
      <c r="F59" s="175">
        <v>19</v>
      </c>
      <c r="G59" s="215" t="s">
        <v>885</v>
      </c>
      <c r="AT59" s="327"/>
    </row>
    <row r="60" spans="6:46" ht="14.4" hidden="1">
      <c r="F60" s="175">
        <v>20</v>
      </c>
      <c r="G60" s="215" t="s">
        <v>890</v>
      </c>
      <c r="AT60" s="327"/>
    </row>
    <row r="61" spans="6:46" ht="14.4" hidden="1">
      <c r="F61" s="175">
        <v>21</v>
      </c>
      <c r="G61" s="175" t="s">
        <v>611</v>
      </c>
      <c r="AT61" s="327"/>
    </row>
    <row r="62" spans="6:46" ht="14.4" hidden="1">
      <c r="F62" s="175">
        <v>22</v>
      </c>
      <c r="G62" s="175" t="s">
        <v>436</v>
      </c>
      <c r="AT62" s="327"/>
    </row>
    <row r="63" spans="6:46" ht="14.4" hidden="1">
      <c r="F63" s="175">
        <v>23</v>
      </c>
      <c r="G63" s="215" t="s">
        <v>886</v>
      </c>
      <c r="AT63" s="327"/>
    </row>
    <row r="64" spans="6:46" ht="14.4" hidden="1">
      <c r="F64" s="175">
        <v>24</v>
      </c>
      <c r="G64" s="215" t="s">
        <v>891</v>
      </c>
      <c r="AT64" s="327"/>
    </row>
    <row r="65" spans="6:46" ht="14.4" hidden="1">
      <c r="F65" s="175">
        <v>25</v>
      </c>
      <c r="G65" s="175" t="s">
        <v>612</v>
      </c>
      <c r="AT65" s="327"/>
    </row>
    <row r="66" spans="6:46" ht="14.4" hidden="1">
      <c r="F66" s="175">
        <v>26</v>
      </c>
      <c r="G66" s="175" t="s">
        <v>613</v>
      </c>
      <c r="AT66" s="327"/>
    </row>
    <row r="67" spans="6:46" ht="14.4" hidden="1">
      <c r="F67" s="175">
        <v>27</v>
      </c>
      <c r="G67" s="175" t="s">
        <v>437</v>
      </c>
      <c r="AT67" s="327"/>
    </row>
    <row r="68" spans="6:46" ht="14.4" hidden="1">
      <c r="F68" s="175">
        <v>28</v>
      </c>
      <c r="G68" s="175" t="s">
        <v>438</v>
      </c>
      <c r="AT68" s="327"/>
    </row>
    <row r="69" spans="6:46" hidden="1">
      <c r="F69" s="175">
        <v>29</v>
      </c>
      <c r="G69" s="215" t="s">
        <v>892</v>
      </c>
    </row>
    <row r="70" spans="6:46" hidden="1">
      <c r="F70" s="175">
        <v>30</v>
      </c>
      <c r="G70" s="175"/>
    </row>
    <row r="71" spans="6:46" hidden="1">
      <c r="F71" s="175">
        <v>31</v>
      </c>
      <c r="G71" s="175"/>
    </row>
  </sheetData>
  <customSheetViews>
    <customSheetView guid="{93FD35E9-1E2C-4BB9-BB5F-2E73C17EC4AF}" scale="115" showGridLines="0" showRowCol="0" outlineSymbols="0" zeroValues="0" hiddenRows="1">
      <selection activeCell="AB30" sqref="AB30:AD30"/>
      <pageMargins left="0.25" right="0.25" top="0.5" bottom="0.75" header="0.3" footer="0.3"/>
      <pageSetup paperSize="9" orientation="landscape" r:id="rId1"/>
      <headerFooter alignWithMargins="0"/>
    </customSheetView>
  </customSheetViews>
  <mergeCells count="111">
    <mergeCell ref="AK8:AO8"/>
    <mergeCell ref="AE23:AG25"/>
    <mergeCell ref="V19:X21"/>
    <mergeCell ref="Y19:AA21"/>
    <mergeCell ref="AB19:AD21"/>
    <mergeCell ref="AE19:AG21"/>
    <mergeCell ref="AO1:AP1"/>
    <mergeCell ref="AD2:AH4"/>
    <mergeCell ref="AD5:AH7"/>
    <mergeCell ref="V10:X10"/>
    <mergeCell ref="Y10:AA10"/>
    <mergeCell ref="AB10:AD10"/>
    <mergeCell ref="AA1:AB1"/>
    <mergeCell ref="AJ1:AN1"/>
    <mergeCell ref="V1:Z1"/>
    <mergeCell ref="AN18:AP18"/>
    <mergeCell ref="AE14:AG14"/>
    <mergeCell ref="AN19:AP21"/>
    <mergeCell ref="AK23:AM25"/>
    <mergeCell ref="AN23:AP25"/>
    <mergeCell ref="AH22:AJ22"/>
    <mergeCell ref="AK22:AM22"/>
    <mergeCell ref="AN22:AP22"/>
    <mergeCell ref="V23:X25"/>
    <mergeCell ref="AN15:AP17"/>
    <mergeCell ref="B1:U4"/>
    <mergeCell ref="AE11:AG13"/>
    <mergeCell ref="AH11:AJ13"/>
    <mergeCell ref="AK11:AM13"/>
    <mergeCell ref="B35:C35"/>
    <mergeCell ref="AH30:AJ30"/>
    <mergeCell ref="AK30:AM30"/>
    <mergeCell ref="AN30:AP30"/>
    <mergeCell ref="AE30:AG30"/>
    <mergeCell ref="AE10:AG10"/>
    <mergeCell ref="AH10:AJ10"/>
    <mergeCell ref="AK10:AM10"/>
    <mergeCell ref="AN10:AP10"/>
    <mergeCell ref="AN11:AP13"/>
    <mergeCell ref="AO33:AP33"/>
    <mergeCell ref="AF33:AG33"/>
    <mergeCell ref="AI33:AJ33"/>
    <mergeCell ref="AB11:AD13"/>
    <mergeCell ref="AN14:AP14"/>
    <mergeCell ref="AE18:AG18"/>
    <mergeCell ref="AK26:AM26"/>
    <mergeCell ref="AN26:AP26"/>
    <mergeCell ref="AE26:AG26"/>
    <mergeCell ref="AK18:AM18"/>
    <mergeCell ref="AE15:AG17"/>
    <mergeCell ref="AH15:AJ17"/>
    <mergeCell ref="AK15:AM17"/>
    <mergeCell ref="V22:X22"/>
    <mergeCell ref="Y22:AA22"/>
    <mergeCell ref="AB22:AD22"/>
    <mergeCell ref="AH14:AJ14"/>
    <mergeCell ref="AK14:AM14"/>
    <mergeCell ref="V14:X14"/>
    <mergeCell ref="Y14:AA14"/>
    <mergeCell ref="V15:X17"/>
    <mergeCell ref="Y15:AA17"/>
    <mergeCell ref="AB15:AD17"/>
    <mergeCell ref="AK19:AM21"/>
    <mergeCell ref="S39:T39"/>
    <mergeCell ref="AA36:AG36"/>
    <mergeCell ref="AI36:AO36"/>
    <mergeCell ref="AH27:AJ29"/>
    <mergeCell ref="AK27:AM29"/>
    <mergeCell ref="AE27:AG29"/>
    <mergeCell ref="AL39:AM39"/>
    <mergeCell ref="Y34:AA34"/>
    <mergeCell ref="AL33:AM33"/>
    <mergeCell ref="AH34:AJ34"/>
    <mergeCell ref="AK34:AM34"/>
    <mergeCell ref="AN34:AP34"/>
    <mergeCell ref="AE34:AG34"/>
    <mergeCell ref="Y31:AA33"/>
    <mergeCell ref="AB31:AD33"/>
    <mergeCell ref="AN27:AP29"/>
    <mergeCell ref="B31:U33"/>
    <mergeCell ref="V31:X33"/>
    <mergeCell ref="B36:C36"/>
    <mergeCell ref="V27:X29"/>
    <mergeCell ref="Y27:AA29"/>
    <mergeCell ref="AB27:AD29"/>
    <mergeCell ref="T37:U37"/>
    <mergeCell ref="B37:C37"/>
    <mergeCell ref="AH26:AJ26"/>
    <mergeCell ref="V11:X13"/>
    <mergeCell ref="Y11:AA13"/>
    <mergeCell ref="AB46:AD46"/>
    <mergeCell ref="AA41:AC41"/>
    <mergeCell ref="V34:X34"/>
    <mergeCell ref="V30:X30"/>
    <mergeCell ref="Y30:AA30"/>
    <mergeCell ref="AB30:AD30"/>
    <mergeCell ref="AB44:AC44"/>
    <mergeCell ref="AB45:AD45"/>
    <mergeCell ref="V18:X18"/>
    <mergeCell ref="Y18:AA18"/>
    <mergeCell ref="AB18:AD18"/>
    <mergeCell ref="AB14:AD14"/>
    <mergeCell ref="AH19:AJ21"/>
    <mergeCell ref="AE22:AG22"/>
    <mergeCell ref="V26:X26"/>
    <mergeCell ref="Y26:AA26"/>
    <mergeCell ref="AB26:AD26"/>
    <mergeCell ref="AH23:AJ25"/>
    <mergeCell ref="Y23:AA25"/>
    <mergeCell ref="AB23:AD25"/>
    <mergeCell ref="AH18:AJ18"/>
  </mergeCells>
  <phoneticPr fontId="24" type="noConversion"/>
  <conditionalFormatting sqref="AB11:AD29">
    <cfRule type="cellIs" dxfId="18" priority="5" stopIfTrue="1" operator="equal">
      <formula>AO$38</formula>
    </cfRule>
  </conditionalFormatting>
  <conditionalFormatting sqref="AA3:AB3 V4:Z4">
    <cfRule type="cellIs" dxfId="17" priority="7" stopIfTrue="1" operator="equal">
      <formula>6</formula>
    </cfRule>
  </conditionalFormatting>
  <conditionalFormatting sqref="AN5:AP5 AJ6:AM6 N37">
    <cfRule type="cellIs" dxfId="16" priority="1" stopIfTrue="1" operator="equal">
      <formula>19</formula>
    </cfRule>
  </conditionalFormatting>
  <conditionalFormatting sqref="AN6:AN7">
    <cfRule type="cellIs" dxfId="15" priority="9" stopIfTrue="1" operator="equal">
      <formula>$AJ$38</formula>
    </cfRule>
  </conditionalFormatting>
  <conditionalFormatting sqref="AP6:AP8">
    <cfRule type="cellIs" dxfId="14" priority="11" stopIfTrue="1" operator="equal">
      <formula>$AI$38</formula>
    </cfRule>
  </conditionalFormatting>
  <conditionalFormatting sqref="AL3:AL4">
    <cfRule type="cellIs" dxfId="13" priority="14" stopIfTrue="1" operator="equal">
      <formula>$S$42</formula>
    </cfRule>
  </conditionalFormatting>
  <conditionalFormatting sqref="AJ7:AJ8">
    <cfRule type="cellIs" dxfId="12" priority="3" stopIfTrue="1" operator="equal">
      <formula>$W$36</formula>
    </cfRule>
    <cfRule type="cellIs" dxfId="11" priority="12" stopIfTrue="1" operator="equal">
      <formula>$X$42</formula>
    </cfRule>
  </conditionalFormatting>
  <conditionalFormatting sqref="AJ6:AP7 AJ8:AK8">
    <cfRule type="cellIs" dxfId="10" priority="18" stopIfTrue="1" operator="between">
      <formula>$L$47</formula>
      <formula>$L$48</formula>
    </cfRule>
  </conditionalFormatting>
  <conditionalFormatting sqref="V3:AB3">
    <cfRule type="cellIs" dxfId="9" priority="6" stopIfTrue="1" operator="equal">
      <formula>1</formula>
    </cfRule>
  </conditionalFormatting>
  <conditionalFormatting sqref="V11:X33">
    <cfRule type="cellIs" dxfId="8" priority="2" operator="equal">
      <formula>$B$39</formula>
    </cfRule>
  </conditionalFormatting>
  <conditionalFormatting sqref="AJ3:AJ8">
    <cfRule type="cellIs" dxfId="7" priority="17" operator="equal">
      <formula>$C$39</formula>
    </cfRule>
  </conditionalFormatting>
  <hyperlinks>
    <hyperlink ref="AD5:AH7" location="año!A1" display="año!A1"/>
    <hyperlink ref="V1:Z1" location="ENERO!A1" display="ENERO!A1"/>
    <hyperlink ref="AJ1:AN1" location="MARZO!A1" display="MARZO!A1"/>
    <hyperlink ref="AI36:AO36" location="PORTADA!A1" display="IR A PORTADA"/>
    <hyperlink ref="AA36:AG36" location="año!A1" display="IR A AÑO COMPLETO"/>
  </hyperlinks>
  <pageMargins left="0.25" right="0.25" top="0.5" bottom="0.75" header="0.3" footer="0.3"/>
  <pageSetup paperSize="9"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sheetPr codeName="Hoja17"/>
  <dimension ref="B1:AP71"/>
  <sheetViews>
    <sheetView showGridLines="0" showRowColHeaders="0" showZeros="0" showOutlineSymbols="0" zoomScale="125" zoomScaleNormal="125" workbookViewId="0">
      <selection activeCell="G36" sqref="G36:I36"/>
    </sheetView>
  </sheetViews>
  <sheetFormatPr baseColWidth="10" defaultColWidth="3.33203125" defaultRowHeight="13.2"/>
  <cols>
    <col min="2" max="2" width="5.88671875" customWidth="1"/>
    <col min="11" max="13" width="3.33203125" customWidth="1"/>
    <col min="14" max="14" width="3.109375" customWidth="1"/>
    <col min="21" max="21" width="4" customWidth="1"/>
    <col min="22" max="22" width="2.44140625" customWidth="1"/>
    <col min="24" max="24" width="2.21875" customWidth="1"/>
    <col min="29" max="29" width="3" customWidth="1"/>
  </cols>
  <sheetData>
    <row r="1" spans="2:42" ht="12" customHeight="1" thickBot="1">
      <c r="B1" s="361"/>
      <c r="C1" s="1244" t="s">
        <v>991</v>
      </c>
      <c r="D1" s="1245"/>
      <c r="E1" s="1245"/>
      <c r="F1" s="1245"/>
      <c r="G1" s="1245"/>
      <c r="H1" s="1245"/>
      <c r="I1" s="1245"/>
      <c r="J1" s="1245"/>
      <c r="K1" s="1245"/>
      <c r="L1" s="1245"/>
      <c r="M1" s="1245"/>
      <c r="N1" s="1245"/>
      <c r="O1" s="1245"/>
      <c r="P1" s="1245"/>
      <c r="Q1" s="1245"/>
      <c r="R1" s="1245"/>
      <c r="S1" s="1245"/>
      <c r="T1" s="1245"/>
      <c r="U1" s="353"/>
      <c r="V1" s="1241" t="str">
        <f>año!$AA$22</f>
        <v>DICIEMBRE</v>
      </c>
      <c r="W1" s="1242"/>
      <c r="X1" s="1242"/>
      <c r="Y1" s="1242"/>
      <c r="Z1" s="1242"/>
      <c r="AA1" s="1235">
        <f>AO1-1</f>
        <v>2023</v>
      </c>
      <c r="AB1" s="1236"/>
      <c r="AC1" s="202"/>
      <c r="AD1" s="202"/>
      <c r="AE1" s="202"/>
      <c r="AF1" s="202"/>
      <c r="AG1" s="202"/>
      <c r="AH1" s="202"/>
      <c r="AI1" s="202"/>
      <c r="AJ1" s="1237" t="str">
        <f>año!$K$4</f>
        <v>FEBRERO</v>
      </c>
      <c r="AK1" s="1238"/>
      <c r="AL1" s="1238"/>
      <c r="AM1" s="1238"/>
      <c r="AN1" s="1238"/>
      <c r="AO1" s="1239">
        <f>año!$O$1</f>
        <v>2024</v>
      </c>
      <c r="AP1" s="1240"/>
    </row>
    <row r="2" spans="2:42" ht="9" customHeight="1" thickBot="1">
      <c r="B2" s="694"/>
      <c r="C2" s="973"/>
      <c r="D2" s="973"/>
      <c r="E2" s="973"/>
      <c r="F2" s="973"/>
      <c r="G2" s="973"/>
      <c r="H2" s="973"/>
      <c r="I2" s="973"/>
      <c r="J2" s="973"/>
      <c r="K2" s="973"/>
      <c r="L2" s="973"/>
      <c r="M2" s="973"/>
      <c r="N2" s="973"/>
      <c r="O2" s="973"/>
      <c r="P2" s="973"/>
      <c r="Q2" s="973"/>
      <c r="R2" s="973"/>
      <c r="S2" s="973"/>
      <c r="T2" s="973"/>
      <c r="U2" s="351"/>
      <c r="V2" s="368" t="s">
        <v>20</v>
      </c>
      <c r="W2" s="120" t="s">
        <v>17</v>
      </c>
      <c r="X2" s="120" t="s">
        <v>29</v>
      </c>
      <c r="Y2" s="120" t="s">
        <v>24</v>
      </c>
      <c r="Z2" s="120" t="s">
        <v>12</v>
      </c>
      <c r="AA2" s="120" t="s">
        <v>7</v>
      </c>
      <c r="AB2" s="369" t="s">
        <v>15</v>
      </c>
      <c r="AC2" s="165"/>
      <c r="AD2" s="1126" t="str">
        <f>año!$C$4</f>
        <v>ENERO</v>
      </c>
      <c r="AE2" s="1126"/>
      <c r="AF2" s="1126"/>
      <c r="AG2" s="1126"/>
      <c r="AH2" s="1126"/>
      <c r="AI2" s="165"/>
      <c r="AJ2" s="368" t="s">
        <v>20</v>
      </c>
      <c r="AK2" s="120" t="s">
        <v>17</v>
      </c>
      <c r="AL2" s="120" t="s">
        <v>29</v>
      </c>
      <c r="AM2" s="120" t="s">
        <v>24</v>
      </c>
      <c r="AN2" s="120" t="s">
        <v>12</v>
      </c>
      <c r="AO2" s="120" t="s">
        <v>7</v>
      </c>
      <c r="AP2" s="369" t="s">
        <v>15</v>
      </c>
    </row>
    <row r="3" spans="2:42" ht="9" customHeight="1">
      <c r="B3" s="421"/>
      <c r="C3" s="973"/>
      <c r="D3" s="973"/>
      <c r="E3" s="973"/>
      <c r="F3" s="973"/>
      <c r="G3" s="973"/>
      <c r="H3" s="973"/>
      <c r="I3" s="973"/>
      <c r="J3" s="973"/>
      <c r="K3" s="973"/>
      <c r="L3" s="973"/>
      <c r="M3" s="973"/>
      <c r="N3" s="973"/>
      <c r="O3" s="973"/>
      <c r="P3" s="973"/>
      <c r="Q3" s="973"/>
      <c r="R3" s="973"/>
      <c r="S3" s="973"/>
      <c r="T3" s="973"/>
      <c r="U3" s="351"/>
      <c r="V3" s="370" t="str">
        <f>IF($AL$39=1,1," ")</f>
        <v xml:space="preserve"> </v>
      </c>
      <c r="W3" s="123" t="str">
        <f>IF($AL$39=2,1,IF(V3=1,V3+1," "))</f>
        <v xml:space="preserve"> </v>
      </c>
      <c r="X3" s="123" t="str">
        <f>IF($AL$39=3,1,IF(V3=1,V3+2,IF(W3=1,W3+1," ")))</f>
        <v xml:space="preserve"> </v>
      </c>
      <c r="Y3" s="123" t="str">
        <f>IF($AL$39=4,1,IF($V3=1,$V3+3,IF($W3=1,$W3+2,IF($X3=1,$X3+1," "))))</f>
        <v xml:space="preserve"> </v>
      </c>
      <c r="Z3" s="123">
        <f>IF($AL$39=5,1,IF($V3=1,$V3+4,IF($W3=1,$W3+3,IF($X3=1,$X3+2,IF($Y3=1,$Y3+1," ")))))</f>
        <v>1</v>
      </c>
      <c r="AA3" s="123">
        <f>IF($AL$39=6,1,IF($V3=1,$V3+5,IF($W3=1,$W3+4,IF($X3=1,$X3+3,IF($Y3=1,$Y3+2,IF($Z3=1,Z3+1," "))))))</f>
        <v>2</v>
      </c>
      <c r="AB3" s="371">
        <f>IF($AL$39=0,1,IF($V3=1,$V3+6,IF($W3=1,$W3+5,IF($X3=1,$X3+4,IF($Y3=1,$Y3+3,IF($Z3=1,$Z3+2,IF($AA3=1,$AA3+1," ")))))))</f>
        <v>3</v>
      </c>
      <c r="AC3" s="165"/>
      <c r="AD3" s="1126"/>
      <c r="AE3" s="1126"/>
      <c r="AF3" s="1126"/>
      <c r="AG3" s="1126"/>
      <c r="AH3" s="1126"/>
      <c r="AI3" s="165"/>
      <c r="AJ3" s="376" t="str">
        <f>año!K6</f>
        <v xml:space="preserve"> </v>
      </c>
      <c r="AK3" s="129" t="str">
        <f>año!L6</f>
        <v xml:space="preserve"> </v>
      </c>
      <c r="AL3" s="129" t="str">
        <f>año!M6</f>
        <v xml:space="preserve"> </v>
      </c>
      <c r="AM3" s="129">
        <f>año!N6</f>
        <v>1</v>
      </c>
      <c r="AN3" s="129">
        <f>año!O6</f>
        <v>2</v>
      </c>
      <c r="AO3" s="129">
        <f>año!P6</f>
        <v>3</v>
      </c>
      <c r="AP3" s="371">
        <f>año!Q6</f>
        <v>4</v>
      </c>
    </row>
    <row r="4" spans="2:42" ht="9" customHeight="1">
      <c r="B4" s="417"/>
      <c r="C4" s="973"/>
      <c r="D4" s="973"/>
      <c r="E4" s="973"/>
      <c r="F4" s="973"/>
      <c r="G4" s="973"/>
      <c r="H4" s="973"/>
      <c r="I4" s="973"/>
      <c r="J4" s="973"/>
      <c r="K4" s="973"/>
      <c r="L4" s="973"/>
      <c r="M4" s="973"/>
      <c r="N4" s="973"/>
      <c r="O4" s="973"/>
      <c r="P4" s="973"/>
      <c r="Q4" s="973"/>
      <c r="R4" s="973"/>
      <c r="S4" s="973"/>
      <c r="T4" s="973"/>
      <c r="U4" s="351"/>
      <c r="V4" s="372">
        <f>AB3+1</f>
        <v>4</v>
      </c>
      <c r="W4" s="125">
        <f t="shared" ref="W4:AB6" si="0">V4+1</f>
        <v>5</v>
      </c>
      <c r="X4" s="125">
        <f t="shared" si="0"/>
        <v>6</v>
      </c>
      <c r="Y4" s="125">
        <f t="shared" si="0"/>
        <v>7</v>
      </c>
      <c r="Z4" s="125">
        <f t="shared" si="0"/>
        <v>8</v>
      </c>
      <c r="AA4" s="125">
        <f t="shared" si="0"/>
        <v>9</v>
      </c>
      <c r="AB4" s="373">
        <f t="shared" si="0"/>
        <v>10</v>
      </c>
      <c r="AC4" s="165"/>
      <c r="AD4" s="1126"/>
      <c r="AE4" s="1126"/>
      <c r="AF4" s="1126"/>
      <c r="AG4" s="1126"/>
      <c r="AH4" s="1126"/>
      <c r="AI4" s="165"/>
      <c r="AJ4" s="377">
        <f>año!K7</f>
        <v>5</v>
      </c>
      <c r="AK4" s="131">
        <f>año!L7</f>
        <v>6</v>
      </c>
      <c r="AL4" s="131">
        <f>año!M7</f>
        <v>7</v>
      </c>
      <c r="AM4" s="131">
        <f>año!N7</f>
        <v>8</v>
      </c>
      <c r="AN4" s="131">
        <f>año!O7</f>
        <v>9</v>
      </c>
      <c r="AO4" s="399">
        <f>año!P7</f>
        <v>10</v>
      </c>
      <c r="AP4" s="373">
        <f>año!Q7</f>
        <v>11</v>
      </c>
    </row>
    <row r="5" spans="2:42" ht="9" customHeight="1">
      <c r="B5" s="140"/>
      <c r="C5" s="351"/>
      <c r="D5" s="351"/>
      <c r="E5" s="351"/>
      <c r="F5" s="351"/>
      <c r="G5" s="351"/>
      <c r="H5" s="351"/>
      <c r="I5" s="351"/>
      <c r="J5" s="351"/>
      <c r="K5" s="351"/>
      <c r="L5" s="351"/>
      <c r="M5" s="351"/>
      <c r="N5" s="351"/>
      <c r="O5" s="351"/>
      <c r="P5" s="351"/>
      <c r="Q5" s="351"/>
      <c r="R5" s="351"/>
      <c r="S5" s="351"/>
      <c r="T5" s="351"/>
      <c r="U5" s="351"/>
      <c r="V5" s="372">
        <f>AB4+1</f>
        <v>11</v>
      </c>
      <c r="W5" s="125">
        <f t="shared" si="0"/>
        <v>12</v>
      </c>
      <c r="X5" s="125">
        <f t="shared" si="0"/>
        <v>13</v>
      </c>
      <c r="Y5" s="125">
        <f t="shared" si="0"/>
        <v>14</v>
      </c>
      <c r="Z5" s="125">
        <f t="shared" si="0"/>
        <v>15</v>
      </c>
      <c r="AA5" s="125">
        <f t="shared" si="0"/>
        <v>16</v>
      </c>
      <c r="AB5" s="373">
        <f t="shared" si="0"/>
        <v>17</v>
      </c>
      <c r="AC5" s="165"/>
      <c r="AD5" s="1044">
        <f>año!$O$1</f>
        <v>2024</v>
      </c>
      <c r="AE5" s="1045"/>
      <c r="AF5" s="1045"/>
      <c r="AG5" s="1045"/>
      <c r="AH5" s="1045"/>
      <c r="AI5" s="165"/>
      <c r="AJ5" s="377">
        <f>año!K8</f>
        <v>12</v>
      </c>
      <c r="AK5" s="131">
        <f>año!L8</f>
        <v>13</v>
      </c>
      <c r="AL5" s="131">
        <f>año!M8</f>
        <v>14</v>
      </c>
      <c r="AM5" s="131">
        <f>año!N8</f>
        <v>15</v>
      </c>
      <c r="AN5" s="131">
        <f>año!O8</f>
        <v>16</v>
      </c>
      <c r="AO5" s="131">
        <f>año!P8</f>
        <v>17</v>
      </c>
      <c r="AP5" s="373">
        <f>año!Q8</f>
        <v>18</v>
      </c>
    </row>
    <row r="6" spans="2:42" ht="9" customHeight="1">
      <c r="B6" s="140"/>
      <c r="C6" s="351"/>
      <c r="D6" s="351"/>
      <c r="E6" s="351"/>
      <c r="F6" s="351"/>
      <c r="G6" s="351"/>
      <c r="H6" s="351"/>
      <c r="I6" s="351"/>
      <c r="J6" s="351"/>
      <c r="K6" s="351"/>
      <c r="L6" s="351"/>
      <c r="M6" s="351"/>
      <c r="N6" s="351"/>
      <c r="O6" s="351"/>
      <c r="P6" s="351"/>
      <c r="Q6" s="351"/>
      <c r="R6" s="351"/>
      <c r="S6" s="351"/>
      <c r="T6" s="351"/>
      <c r="U6" s="351"/>
      <c r="V6" s="372">
        <f>AB5+1</f>
        <v>18</v>
      </c>
      <c r="W6" s="125">
        <f t="shared" si="0"/>
        <v>19</v>
      </c>
      <c r="X6" s="125">
        <f t="shared" si="0"/>
        <v>20</v>
      </c>
      <c r="Y6" s="125">
        <f t="shared" si="0"/>
        <v>21</v>
      </c>
      <c r="Z6" s="125">
        <f t="shared" si="0"/>
        <v>22</v>
      </c>
      <c r="AA6" s="125">
        <f t="shared" si="0"/>
        <v>23</v>
      </c>
      <c r="AB6" s="373">
        <f t="shared" si="0"/>
        <v>24</v>
      </c>
      <c r="AC6" s="165"/>
      <c r="AD6" s="1045"/>
      <c r="AE6" s="1045"/>
      <c r="AF6" s="1045"/>
      <c r="AG6" s="1045"/>
      <c r="AH6" s="1045"/>
      <c r="AI6" s="165"/>
      <c r="AJ6" s="377">
        <f>año!K9</f>
        <v>19</v>
      </c>
      <c r="AK6" s="131">
        <f>año!L9</f>
        <v>20</v>
      </c>
      <c r="AL6" s="131">
        <f>año!M9</f>
        <v>21</v>
      </c>
      <c r="AM6" s="131">
        <f>año!N9</f>
        <v>22</v>
      </c>
      <c r="AN6" s="131">
        <f>año!O9</f>
        <v>23</v>
      </c>
      <c r="AO6" s="131">
        <f>año!P9</f>
        <v>24</v>
      </c>
      <c r="AP6" s="373">
        <f>año!Q9</f>
        <v>25</v>
      </c>
    </row>
    <row r="7" spans="2:42" ht="9" customHeight="1">
      <c r="B7" s="140"/>
      <c r="C7" s="351"/>
      <c r="D7" s="351"/>
      <c r="E7" s="351"/>
      <c r="F7" s="351"/>
      <c r="G7" s="351"/>
      <c r="H7" s="351"/>
      <c r="I7" s="351"/>
      <c r="K7" s="351"/>
      <c r="L7" s="351"/>
      <c r="M7" s="351"/>
      <c r="N7" s="351"/>
      <c r="O7" s="351"/>
      <c r="P7" s="351"/>
      <c r="Q7" s="351"/>
      <c r="R7" s="351"/>
      <c r="S7" s="351"/>
      <c r="T7" s="351"/>
      <c r="U7" s="351"/>
      <c r="V7" s="372">
        <f>AB6+1</f>
        <v>25</v>
      </c>
      <c r="W7" s="125">
        <f>V7+1</f>
        <v>26</v>
      </c>
      <c r="X7" s="125">
        <f>IF(W7&lt;31,W7+1," ")</f>
        <v>27</v>
      </c>
      <c r="Y7" s="125">
        <f>IF(W7&lt;30,W7+2," ")</f>
        <v>28</v>
      </c>
      <c r="Z7" s="125">
        <f>IF(W7&lt;29,W7+3," ")</f>
        <v>29</v>
      </c>
      <c r="AA7" s="125">
        <f>IF(W7&lt;28,W7+4," ")</f>
        <v>30</v>
      </c>
      <c r="AB7" s="373">
        <f>IF(W7&lt;27,W7+5," ")</f>
        <v>31</v>
      </c>
      <c r="AC7" s="165"/>
      <c r="AD7" s="1045"/>
      <c r="AE7" s="1045"/>
      <c r="AF7" s="1045"/>
      <c r="AG7" s="1045"/>
      <c r="AH7" s="1045"/>
      <c r="AI7" s="165"/>
      <c r="AJ7" s="377">
        <f>año!K10</f>
        <v>26</v>
      </c>
      <c r="AK7" s="131">
        <f>año!L10</f>
        <v>27</v>
      </c>
      <c r="AL7" s="131">
        <f>año!M10</f>
        <v>28</v>
      </c>
      <c r="AM7" s="131">
        <f>año!N10</f>
        <v>29</v>
      </c>
      <c r="AN7" s="131" t="str">
        <f>año!O10</f>
        <v xml:space="preserve"> </v>
      </c>
      <c r="AO7" s="131" t="str">
        <f>año!P10</f>
        <v xml:space="preserve"> </v>
      </c>
      <c r="AP7" s="373" t="str">
        <f>año!Q10</f>
        <v xml:space="preserve"> </v>
      </c>
    </row>
    <row r="8" spans="2:42" ht="9" customHeight="1">
      <c r="B8" s="140"/>
      <c r="C8" s="351"/>
      <c r="D8" s="351"/>
      <c r="E8" s="351"/>
      <c r="F8" s="351"/>
      <c r="G8" s="351"/>
      <c r="H8" s="351"/>
      <c r="I8" s="351"/>
      <c r="J8" s="351"/>
      <c r="K8" s="351"/>
      <c r="L8" s="351"/>
      <c r="M8" s="351"/>
      <c r="N8" s="351"/>
      <c r="O8" s="351"/>
      <c r="P8" s="351"/>
      <c r="Q8" s="351"/>
      <c r="R8" s="351"/>
      <c r="S8" s="351"/>
      <c r="T8" s="351"/>
      <c r="U8" s="351"/>
      <c r="V8" s="374" t="str">
        <f>IF(AB7&lt;31,AB7+1," ")</f>
        <v xml:space="preserve"> </v>
      </c>
      <c r="W8" s="375" t="str">
        <f>IF(V8&lt;31,V8+1," ")</f>
        <v xml:space="preserve"> </v>
      </c>
      <c r="X8" s="375"/>
      <c r="Y8" s="375"/>
      <c r="Z8" s="375"/>
      <c r="AA8" s="375"/>
      <c r="AB8" s="379"/>
      <c r="AC8" s="167"/>
      <c r="AD8" s="168"/>
      <c r="AE8" s="168"/>
      <c r="AF8" s="168"/>
      <c r="AG8" s="168"/>
      <c r="AH8" s="168"/>
      <c r="AI8" s="169"/>
      <c r="AJ8" s="375"/>
      <c r="AK8" s="375"/>
      <c r="AL8" s="375"/>
      <c r="AM8" s="375"/>
      <c r="AN8" s="375"/>
      <c r="AO8" s="375"/>
      <c r="AP8" s="378"/>
    </row>
    <row r="9" spans="2:42" ht="9" customHeight="1">
      <c r="B9" s="140"/>
      <c r="C9" s="351"/>
      <c r="D9" s="351"/>
      <c r="E9" s="351"/>
      <c r="F9" s="351"/>
      <c r="G9" s="351"/>
      <c r="H9" s="351"/>
      <c r="I9" s="351"/>
      <c r="J9" s="351"/>
      <c r="K9" s="351"/>
      <c r="L9" s="351"/>
      <c r="M9" s="351"/>
      <c r="N9" s="351"/>
      <c r="O9" s="351"/>
      <c r="P9" s="351"/>
      <c r="Q9" s="351"/>
      <c r="R9" s="351"/>
      <c r="S9" s="351"/>
      <c r="T9" s="351"/>
      <c r="U9" s="352"/>
      <c r="V9" s="362"/>
      <c r="W9" s="362"/>
      <c r="X9" s="362"/>
      <c r="Y9" s="362"/>
      <c r="Z9" s="362"/>
      <c r="AA9" s="362"/>
      <c r="AB9" s="362"/>
      <c r="AC9" s="362"/>
      <c r="AD9" s="362"/>
      <c r="AE9" s="362"/>
      <c r="AF9" s="362"/>
      <c r="AG9" s="362"/>
      <c r="AH9" s="362"/>
      <c r="AI9" s="362"/>
      <c r="AJ9" s="362"/>
      <c r="AK9" s="362"/>
      <c r="AL9" s="362"/>
      <c r="AM9" s="362"/>
      <c r="AN9" s="362"/>
      <c r="AO9" s="362"/>
      <c r="AP9" s="363"/>
    </row>
    <row r="10" spans="2:42" ht="9" customHeight="1">
      <c r="B10" s="140"/>
      <c r="C10" s="351"/>
      <c r="D10" s="351"/>
      <c r="E10" s="351"/>
      <c r="F10" s="351"/>
      <c r="G10" s="351"/>
      <c r="H10" s="351"/>
      <c r="I10" s="351"/>
      <c r="J10" s="351"/>
      <c r="K10" s="351"/>
      <c r="L10" s="351"/>
      <c r="M10" s="351"/>
      <c r="N10" s="351"/>
      <c r="O10" s="351"/>
      <c r="P10" s="351"/>
      <c r="Q10" s="351"/>
      <c r="R10" s="351"/>
      <c r="S10" s="351"/>
      <c r="T10" s="351"/>
      <c r="U10" s="352"/>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224"/>
    </row>
    <row r="11" spans="2:42" ht="9" customHeight="1">
      <c r="B11" s="140"/>
      <c r="C11" s="351"/>
      <c r="D11" s="351"/>
      <c r="E11" s="351"/>
      <c r="F11" s="351"/>
      <c r="G11" s="351"/>
      <c r="H11" s="351"/>
      <c r="I11" s="351"/>
      <c r="J11" s="351"/>
      <c r="K11" s="351"/>
      <c r="L11" s="351"/>
      <c r="M11" s="351"/>
      <c r="N11" s="351"/>
      <c r="O11" s="351"/>
      <c r="P11" s="351"/>
      <c r="Q11" s="351"/>
      <c r="R11" s="351"/>
      <c r="S11" s="351"/>
      <c r="T11" s="351"/>
      <c r="U11" s="352"/>
      <c r="V11" s="1060">
        <f>año!C6</f>
        <v>1</v>
      </c>
      <c r="W11" s="1199"/>
      <c r="X11" s="1199"/>
      <c r="Y11" s="1199">
        <f>año!D6</f>
        <v>2</v>
      </c>
      <c r="Z11" s="1199"/>
      <c r="AA11" s="1199"/>
      <c r="AB11" s="1199">
        <f>año!E6</f>
        <v>3</v>
      </c>
      <c r="AC11" s="1199"/>
      <c r="AD11" s="1199"/>
      <c r="AE11" s="1199">
        <f>año!F6</f>
        <v>4</v>
      </c>
      <c r="AF11" s="1199"/>
      <c r="AG11" s="1199"/>
      <c r="AH11" s="1199">
        <f>año!G6</f>
        <v>5</v>
      </c>
      <c r="AI11" s="1199"/>
      <c r="AJ11" s="1199"/>
      <c r="AK11" s="1199">
        <f>año!H6</f>
        <v>6</v>
      </c>
      <c r="AL11" s="1199"/>
      <c r="AM11" s="1199"/>
      <c r="AN11" s="1233">
        <f>año!I6</f>
        <v>7</v>
      </c>
      <c r="AO11" s="1233"/>
      <c r="AP11" s="1234"/>
    </row>
    <row r="12" spans="2:42" ht="9" customHeight="1">
      <c r="B12" s="140"/>
      <c r="C12" s="351"/>
      <c r="D12" s="351"/>
      <c r="E12" s="351"/>
      <c r="F12" s="351"/>
      <c r="G12" s="351"/>
      <c r="H12" s="351"/>
      <c r="I12" s="351"/>
      <c r="J12" s="351"/>
      <c r="K12" s="351"/>
      <c r="L12" s="351"/>
      <c r="M12" s="351"/>
      <c r="N12" s="351"/>
      <c r="O12" s="351"/>
      <c r="P12" s="351"/>
      <c r="Q12" s="351"/>
      <c r="R12" s="351"/>
      <c r="S12" s="351"/>
      <c r="T12" s="351"/>
      <c r="U12" s="352"/>
      <c r="V12" s="1200"/>
      <c r="W12" s="1052"/>
      <c r="X12" s="1052"/>
      <c r="Y12" s="1052"/>
      <c r="Z12" s="1052"/>
      <c r="AA12" s="1052"/>
      <c r="AB12" s="1052"/>
      <c r="AC12" s="1052"/>
      <c r="AD12" s="1052"/>
      <c r="AE12" s="1052"/>
      <c r="AF12" s="1052"/>
      <c r="AG12" s="1052"/>
      <c r="AH12" s="1052"/>
      <c r="AI12" s="1052"/>
      <c r="AJ12" s="1052"/>
      <c r="AK12" s="1052"/>
      <c r="AL12" s="1052"/>
      <c r="AM12" s="1052"/>
      <c r="AN12" s="1064"/>
      <c r="AO12" s="1064"/>
      <c r="AP12" s="1206"/>
    </row>
    <row r="13" spans="2:42" ht="9" customHeight="1">
      <c r="B13" s="140"/>
      <c r="C13" s="351"/>
      <c r="D13" s="351"/>
      <c r="E13" s="351"/>
      <c r="F13" s="351"/>
      <c r="G13" s="351"/>
      <c r="H13" s="351"/>
      <c r="I13" s="351"/>
      <c r="J13" s="351"/>
      <c r="K13" s="351"/>
      <c r="L13" s="351"/>
      <c r="M13" s="351"/>
      <c r="N13" s="351"/>
      <c r="O13" s="351"/>
      <c r="P13" s="351"/>
      <c r="Q13" s="351"/>
      <c r="R13" s="351"/>
      <c r="S13" s="351"/>
      <c r="T13" s="351"/>
      <c r="U13" s="352"/>
      <c r="V13" s="1200"/>
      <c r="W13" s="1052"/>
      <c r="X13" s="1052"/>
      <c r="Y13" s="1052"/>
      <c r="Z13" s="1052"/>
      <c r="AA13" s="1052"/>
      <c r="AB13" s="1052"/>
      <c r="AC13" s="1052"/>
      <c r="AD13" s="1052"/>
      <c r="AE13" s="1052"/>
      <c r="AF13" s="1052"/>
      <c r="AG13" s="1052"/>
      <c r="AH13" s="1052"/>
      <c r="AI13" s="1052"/>
      <c r="AJ13" s="1052"/>
      <c r="AK13" s="1052"/>
      <c r="AL13" s="1052"/>
      <c r="AM13" s="1052"/>
      <c r="AN13" s="1064"/>
      <c r="AO13" s="1064"/>
      <c r="AP13" s="1206"/>
    </row>
    <row r="14" spans="2:42" ht="9" customHeight="1">
      <c r="B14" s="140"/>
      <c r="C14" s="351"/>
      <c r="D14" s="351"/>
      <c r="E14" s="351"/>
      <c r="F14" s="351"/>
      <c r="G14" s="351"/>
      <c r="H14" s="351"/>
      <c r="I14" s="351"/>
      <c r="J14" s="351"/>
      <c r="K14" s="351"/>
      <c r="L14" s="351"/>
      <c r="M14" s="351"/>
      <c r="N14" s="351"/>
      <c r="O14" s="351"/>
      <c r="P14" s="351"/>
      <c r="Q14" s="351"/>
      <c r="R14" s="351"/>
      <c r="S14" s="351"/>
      <c r="T14" s="351"/>
      <c r="U14" s="352"/>
      <c r="V14" s="1202" t="str">
        <f>IF(V11&lt;&gt;" ",VLOOKUP(V11,$F$41:$H$71,2)," ")</f>
        <v>Sta.Maria/Manuel</v>
      </c>
      <c r="W14" s="1050"/>
      <c r="X14" s="1050"/>
      <c r="Y14" s="1050" t="str">
        <f>IF(Y11&lt;&gt;" ",VLOOKUP(Y11,$F$41:$H$71,2)," ")</f>
        <v>Basilio/Gregorio</v>
      </c>
      <c r="Z14" s="1050"/>
      <c r="AA14" s="1050"/>
      <c r="AB14" s="1050" t="str">
        <f>IF(AB11&lt;&gt;" ",VLOOKUP(AB11,$F$41:$H$71,2)," ")</f>
        <v>Genoveva</v>
      </c>
      <c r="AC14" s="1050"/>
      <c r="AD14" s="1050"/>
      <c r="AE14" s="1050" t="str">
        <f>IF(AE11&lt;&gt;" ",VLOOKUP(AE11,$F$41:$H$71,2)," ")</f>
        <v>Ángela</v>
      </c>
      <c r="AF14" s="1050"/>
      <c r="AG14" s="1050"/>
      <c r="AH14" s="1050" t="str">
        <f>IF(AH11&lt;&gt;" ",VLOOKUP(AH11,$F$41:$H$71,2)," ")</f>
        <v>Amelia/Simeón</v>
      </c>
      <c r="AI14" s="1050"/>
      <c r="AJ14" s="1050"/>
      <c r="AK14" s="1050" t="str">
        <f>IF(AK11&lt;&gt;" ",VLOOKUP(AK11,$F$41:$H$71,2)," ")</f>
        <v>Reyes</v>
      </c>
      <c r="AL14" s="1050"/>
      <c r="AM14" s="1050"/>
      <c r="AN14" s="1050" t="str">
        <f>IF(AN11&lt;&gt;" ",VLOOKUP(AN11,$F$41:$H$71,2)," ")</f>
        <v>Raimundo</v>
      </c>
      <c r="AO14" s="1050"/>
      <c r="AP14" s="1223"/>
    </row>
    <row r="15" spans="2:42" ht="9" customHeight="1">
      <c r="B15" s="140"/>
      <c r="C15" s="351"/>
      <c r="D15" s="351"/>
      <c r="E15" s="351"/>
      <c r="F15" s="351"/>
      <c r="G15" s="351"/>
      <c r="H15" s="351"/>
      <c r="I15" s="351"/>
      <c r="J15" s="351"/>
      <c r="K15" s="351"/>
      <c r="L15" s="351"/>
      <c r="M15" s="351"/>
      <c r="N15" s="351"/>
      <c r="O15" s="351"/>
      <c r="P15" s="351"/>
      <c r="Q15" s="351"/>
      <c r="R15" s="351"/>
      <c r="S15" s="351"/>
      <c r="T15" s="351"/>
      <c r="U15" s="352"/>
      <c r="V15" s="1200">
        <f>año!C7</f>
        <v>8</v>
      </c>
      <c r="W15" s="1052"/>
      <c r="X15" s="1052"/>
      <c r="Y15" s="1052">
        <f>año!D7</f>
        <v>9</v>
      </c>
      <c r="Z15" s="1052"/>
      <c r="AA15" s="1052"/>
      <c r="AB15" s="1052">
        <f>año!E7</f>
        <v>10</v>
      </c>
      <c r="AC15" s="1052"/>
      <c r="AD15" s="1052"/>
      <c r="AE15" s="1052">
        <f>año!F7</f>
        <v>11</v>
      </c>
      <c r="AF15" s="1052"/>
      <c r="AG15" s="1052"/>
      <c r="AH15" s="1052">
        <f>año!G7</f>
        <v>12</v>
      </c>
      <c r="AI15" s="1052"/>
      <c r="AJ15" s="1052"/>
      <c r="AK15" s="1052">
        <f>año!H7</f>
        <v>13</v>
      </c>
      <c r="AL15" s="1052"/>
      <c r="AM15" s="1052"/>
      <c r="AN15" s="1064">
        <f>año!I7</f>
        <v>14</v>
      </c>
      <c r="AO15" s="1064"/>
      <c r="AP15" s="1206"/>
    </row>
    <row r="16" spans="2:42" ht="9" customHeight="1">
      <c r="B16" s="140"/>
      <c r="C16" s="351"/>
      <c r="D16" s="351"/>
      <c r="E16" s="351"/>
      <c r="F16" s="351"/>
      <c r="G16" s="351"/>
      <c r="H16" s="351"/>
      <c r="I16" s="351"/>
      <c r="J16" s="351"/>
      <c r="K16" s="351"/>
      <c r="L16" s="351"/>
      <c r="M16" s="351"/>
      <c r="N16" s="351"/>
      <c r="O16" s="351"/>
      <c r="P16" s="351"/>
      <c r="Q16" s="351"/>
      <c r="R16" s="351"/>
      <c r="S16" s="351"/>
      <c r="T16" s="351"/>
      <c r="U16" s="352"/>
      <c r="V16" s="1200"/>
      <c r="W16" s="1052"/>
      <c r="X16" s="1052"/>
      <c r="Y16" s="1052"/>
      <c r="Z16" s="1052"/>
      <c r="AA16" s="1052"/>
      <c r="AB16" s="1052"/>
      <c r="AC16" s="1052"/>
      <c r="AD16" s="1052"/>
      <c r="AE16" s="1052"/>
      <c r="AF16" s="1052"/>
      <c r="AG16" s="1052"/>
      <c r="AH16" s="1052"/>
      <c r="AI16" s="1052"/>
      <c r="AJ16" s="1052"/>
      <c r="AK16" s="1052"/>
      <c r="AL16" s="1052"/>
      <c r="AM16" s="1052"/>
      <c r="AN16" s="1064"/>
      <c r="AO16" s="1064"/>
      <c r="AP16" s="1206"/>
    </row>
    <row r="17" spans="2:42" ht="9" customHeight="1">
      <c r="B17" s="140"/>
      <c r="C17" s="351"/>
      <c r="D17" s="351"/>
      <c r="E17" s="351"/>
      <c r="F17" s="351"/>
      <c r="G17" s="351"/>
      <c r="H17" s="351"/>
      <c r="I17" s="351"/>
      <c r="J17" s="351"/>
      <c r="K17" s="351"/>
      <c r="L17" s="351"/>
      <c r="M17" s="351"/>
      <c r="N17" s="351"/>
      <c r="O17" s="351"/>
      <c r="P17" s="351"/>
      <c r="Q17" s="351"/>
      <c r="R17" s="351"/>
      <c r="S17" s="351"/>
      <c r="T17" s="351"/>
      <c r="U17" s="352"/>
      <c r="V17" s="1200"/>
      <c r="W17" s="1052"/>
      <c r="X17" s="1052"/>
      <c r="Y17" s="1052"/>
      <c r="Z17" s="1052"/>
      <c r="AA17" s="1052"/>
      <c r="AB17" s="1052"/>
      <c r="AC17" s="1052"/>
      <c r="AD17" s="1052"/>
      <c r="AE17" s="1052"/>
      <c r="AF17" s="1052"/>
      <c r="AG17" s="1052"/>
      <c r="AH17" s="1052"/>
      <c r="AI17" s="1052"/>
      <c r="AJ17" s="1052"/>
      <c r="AK17" s="1052"/>
      <c r="AL17" s="1052"/>
      <c r="AM17" s="1052"/>
      <c r="AN17" s="1064"/>
      <c r="AO17" s="1064"/>
      <c r="AP17" s="1206"/>
    </row>
    <row r="18" spans="2:42" ht="9" customHeight="1">
      <c r="B18" s="140"/>
      <c r="C18" s="351"/>
      <c r="D18" s="351"/>
      <c r="E18" s="351"/>
      <c r="F18" s="351"/>
      <c r="G18" s="351"/>
      <c r="H18" s="351"/>
      <c r="I18" s="351"/>
      <c r="J18" s="351"/>
      <c r="K18" s="351"/>
      <c r="L18" s="351"/>
      <c r="M18" s="351"/>
      <c r="N18" s="351"/>
      <c r="O18" s="351"/>
      <c r="P18" s="351"/>
      <c r="Q18" s="351"/>
      <c r="R18" s="351"/>
      <c r="S18" s="351"/>
      <c r="T18" s="351"/>
      <c r="U18" s="352"/>
      <c r="V18" s="1202" t="str">
        <f>IF(V15&lt;&gt;" ",VLOOKUP(V15,$F$41:$H$71,2)," ")</f>
        <v>Lorenzo/Gúdula</v>
      </c>
      <c r="W18" s="1050"/>
      <c r="X18" s="1050"/>
      <c r="Y18" s="1050" t="str">
        <f>IF(Y15&lt;&gt;" ",VLOOKUP(Y15,$F$41:$H$71,2)," ")</f>
        <v>Julián y Basilisa</v>
      </c>
      <c r="Z18" s="1050"/>
      <c r="AA18" s="1050"/>
      <c r="AB18" s="1050" t="str">
        <f>IF(AB15&lt;&gt;" ",VLOOKUP(AB15,$F$41:$H$71,2)," ")</f>
        <v>Gregori Niça</v>
      </c>
      <c r="AC18" s="1050"/>
      <c r="AD18" s="1050"/>
      <c r="AE18" s="1050" t="str">
        <f>IF(AE15&lt;&gt;" ",VLOOKUP(AE15,$F$41:$H$71,2)," ")</f>
        <v>Alejandro</v>
      </c>
      <c r="AF18" s="1050"/>
      <c r="AG18" s="1050"/>
      <c r="AH18" s="1050" t="str">
        <f>IF(AH15&lt;&gt;" ",VLOOKUP(AH15,$F$41:$H$71,2)," ")</f>
        <v>Alfredo/Julián</v>
      </c>
      <c r="AI18" s="1050"/>
      <c r="AJ18" s="1050"/>
      <c r="AK18" s="1050" t="str">
        <f>IF(AK15&lt;&gt;" ",VLOOKUP(AK15,$F$41:$H$71,2)," ")</f>
        <v>Hilario</v>
      </c>
      <c r="AL18" s="1050"/>
      <c r="AM18" s="1050"/>
      <c r="AN18" s="1050" t="str">
        <f>IF(AN15&lt;&gt;" ",VLOOKUP(AN15,$F$41:$H$71,2)," ")</f>
        <v>Juan Ribera</v>
      </c>
      <c r="AO18" s="1050"/>
      <c r="AP18" s="1223"/>
    </row>
    <row r="19" spans="2:42" ht="9" customHeight="1">
      <c r="B19" s="140"/>
      <c r="C19" s="351"/>
      <c r="D19" s="351"/>
      <c r="E19" s="351"/>
      <c r="F19" s="351"/>
      <c r="G19" s="351"/>
      <c r="H19" s="351"/>
      <c r="I19" s="351"/>
      <c r="J19" s="351"/>
      <c r="K19" s="351"/>
      <c r="L19" s="351"/>
      <c r="M19" s="351"/>
      <c r="N19" s="351"/>
      <c r="O19" s="351"/>
      <c r="P19" s="351"/>
      <c r="Q19" s="351"/>
      <c r="R19" s="351"/>
      <c r="S19" s="351"/>
      <c r="T19" s="351"/>
      <c r="U19" s="352"/>
      <c r="V19" s="1200">
        <f>año!C8</f>
        <v>15</v>
      </c>
      <c r="W19" s="1052"/>
      <c r="X19" s="1052"/>
      <c r="Y19" s="1052">
        <f>año!D8</f>
        <v>16</v>
      </c>
      <c r="Z19" s="1052"/>
      <c r="AA19" s="1052"/>
      <c r="AB19" s="1052">
        <f>año!E8</f>
        <v>17</v>
      </c>
      <c r="AC19" s="1052"/>
      <c r="AD19" s="1052"/>
      <c r="AE19" s="1052">
        <f>año!F8</f>
        <v>18</v>
      </c>
      <c r="AF19" s="1052"/>
      <c r="AG19" s="1052"/>
      <c r="AH19" s="1052">
        <f>año!G8</f>
        <v>19</v>
      </c>
      <c r="AI19" s="1052"/>
      <c r="AJ19" s="1052"/>
      <c r="AK19" s="1117">
        <f>año!H8</f>
        <v>20</v>
      </c>
      <c r="AL19" s="1117"/>
      <c r="AM19" s="1117"/>
      <c r="AN19" s="1117">
        <f>año!I8</f>
        <v>21</v>
      </c>
      <c r="AO19" s="1117"/>
      <c r="AP19" s="1111"/>
    </row>
    <row r="20" spans="2:42" ht="9" customHeight="1">
      <c r="B20" s="140"/>
      <c r="C20" s="351"/>
      <c r="D20" s="351"/>
      <c r="E20" s="351"/>
      <c r="F20" s="351"/>
      <c r="G20" s="351"/>
      <c r="H20" s="351"/>
      <c r="I20" s="351"/>
      <c r="J20" s="351"/>
      <c r="K20" s="351"/>
      <c r="L20" s="351"/>
      <c r="M20" s="351"/>
      <c r="N20" s="351"/>
      <c r="O20" s="351"/>
      <c r="P20" s="351"/>
      <c r="Q20" s="351"/>
      <c r="R20" s="351"/>
      <c r="S20" s="351"/>
      <c r="T20" s="351"/>
      <c r="U20" s="352"/>
      <c r="V20" s="1200"/>
      <c r="W20" s="1052"/>
      <c r="X20" s="1052"/>
      <c r="Y20" s="1052"/>
      <c r="Z20" s="1052"/>
      <c r="AA20" s="1052"/>
      <c r="AB20" s="1052"/>
      <c r="AC20" s="1052"/>
      <c r="AD20" s="1052"/>
      <c r="AE20" s="1052"/>
      <c r="AF20" s="1052"/>
      <c r="AG20" s="1052"/>
      <c r="AH20" s="1052"/>
      <c r="AI20" s="1052"/>
      <c r="AJ20" s="1052"/>
      <c r="AK20" s="1117"/>
      <c r="AL20" s="1117"/>
      <c r="AM20" s="1117"/>
      <c r="AN20" s="1117"/>
      <c r="AO20" s="1117"/>
      <c r="AP20" s="1111"/>
    </row>
    <row r="21" spans="2:42" ht="9" customHeight="1">
      <c r="B21" s="140"/>
      <c r="C21" s="351"/>
      <c r="D21" s="351"/>
      <c r="E21" s="351"/>
      <c r="F21" s="351"/>
      <c r="G21" s="351"/>
      <c r="H21" s="351"/>
      <c r="I21" s="351"/>
      <c r="J21" s="351"/>
      <c r="K21" s="351"/>
      <c r="L21" s="351"/>
      <c r="M21" s="351"/>
      <c r="N21" s="351"/>
      <c r="O21" s="351"/>
      <c r="P21" s="351"/>
      <c r="Q21" s="351"/>
      <c r="R21" s="351"/>
      <c r="S21" s="351"/>
      <c r="T21" s="351"/>
      <c r="U21" s="352"/>
      <c r="V21" s="1200"/>
      <c r="W21" s="1052"/>
      <c r="X21" s="1052"/>
      <c r="Y21" s="1052"/>
      <c r="Z21" s="1052"/>
      <c r="AA21" s="1052"/>
      <c r="AB21" s="1052"/>
      <c r="AC21" s="1052"/>
      <c r="AD21" s="1052"/>
      <c r="AE21" s="1052"/>
      <c r="AF21" s="1052"/>
      <c r="AG21" s="1052"/>
      <c r="AH21" s="1052"/>
      <c r="AI21" s="1052"/>
      <c r="AJ21" s="1052"/>
      <c r="AK21" s="1117"/>
      <c r="AL21" s="1117"/>
      <c r="AM21" s="1117"/>
      <c r="AN21" s="1117"/>
      <c r="AO21" s="1117"/>
      <c r="AP21" s="1111"/>
    </row>
    <row r="22" spans="2:42" ht="9" customHeight="1">
      <c r="B22" s="140"/>
      <c r="C22" s="351"/>
      <c r="D22" s="351"/>
      <c r="E22" s="351"/>
      <c r="F22" s="351"/>
      <c r="G22" s="351"/>
      <c r="H22" s="351"/>
      <c r="I22" s="351"/>
      <c r="J22" s="351"/>
      <c r="K22" s="351"/>
      <c r="L22" s="351"/>
      <c r="M22" s="351"/>
      <c r="N22" s="351"/>
      <c r="O22" s="351"/>
      <c r="P22" s="351"/>
      <c r="Q22" s="351"/>
      <c r="R22" s="351"/>
      <c r="S22" s="351"/>
      <c r="T22" s="351"/>
      <c r="U22" s="352"/>
      <c r="V22" s="1202" t="str">
        <f>IF(V19&lt;&gt;" ",VLOOKUP(V19,$F$41:$H$71,2)," ")</f>
        <v>Mauro/Raquel</v>
      </c>
      <c r="W22" s="1050"/>
      <c r="X22" s="1050"/>
      <c r="Y22" s="1050" t="str">
        <f>IF(Y19&lt;&gt;" ",VLOOKUP(Y19,$F$41:$H$71,2)," ")</f>
        <v>Fulgencio/Marcelo</v>
      </c>
      <c r="Z22" s="1050"/>
      <c r="AA22" s="1050"/>
      <c r="AB22" s="1050" t="str">
        <f>IF(AB19&lt;&gt;" ",VLOOKUP(AB19,$F$41:$H$71,2)," ")</f>
        <v>Antonio Abad</v>
      </c>
      <c r="AC22" s="1050"/>
      <c r="AD22" s="1050"/>
      <c r="AE22" s="1050" t="str">
        <f>IF(AE19&lt;&gt;" ",VLOOKUP(AE19,$F$41:$H$71,2)," ")</f>
        <v>Prisca/Margarita</v>
      </c>
      <c r="AF22" s="1050"/>
      <c r="AG22" s="1050"/>
      <c r="AH22" s="1050" t="str">
        <f>IF(AH19&lt;&gt;" ",VLOOKUP(AH19,$F$41:$H$71,2)," ")</f>
        <v>Marcel Spínola</v>
      </c>
      <c r="AI22" s="1050"/>
      <c r="AJ22" s="1050"/>
      <c r="AK22" s="1050" t="str">
        <f>IF(AK19&lt;&gt;" ",VLOOKUP(AK19,$F$41:$H$71,2)," ")</f>
        <v>Sebastián</v>
      </c>
      <c r="AL22" s="1050"/>
      <c r="AM22" s="1050"/>
      <c r="AN22" s="1050" t="str">
        <f>IF(AN19&lt;&gt;" ",VLOOKUP(AN19,$F$41:$H$71,2)," ")</f>
        <v>Inés</v>
      </c>
      <c r="AO22" s="1050"/>
      <c r="AP22" s="1223"/>
    </row>
    <row r="23" spans="2:42" ht="9" customHeight="1">
      <c r="B23" s="140"/>
      <c r="C23" s="351"/>
      <c r="D23" s="351"/>
      <c r="E23" s="351"/>
      <c r="F23" s="351"/>
      <c r="G23" s="351"/>
      <c r="H23" s="351"/>
      <c r="I23" s="351"/>
      <c r="J23" s="351"/>
      <c r="K23" s="351"/>
      <c r="L23" s="351"/>
      <c r="M23" s="351"/>
      <c r="N23" s="351"/>
      <c r="O23" s="351"/>
      <c r="P23" s="351"/>
      <c r="Q23" s="351"/>
      <c r="R23" s="351"/>
      <c r="S23" s="351"/>
      <c r="T23" s="351"/>
      <c r="U23" s="352"/>
      <c r="V23" s="1200">
        <f>año!C9</f>
        <v>22</v>
      </c>
      <c r="W23" s="1052"/>
      <c r="X23" s="1052"/>
      <c r="Y23" s="1052">
        <f>año!D9</f>
        <v>23</v>
      </c>
      <c r="Z23" s="1052"/>
      <c r="AA23" s="1052"/>
      <c r="AB23" s="1052">
        <f>año!E9</f>
        <v>24</v>
      </c>
      <c r="AC23" s="1052"/>
      <c r="AD23" s="1052"/>
      <c r="AE23" s="1052">
        <f>año!F9</f>
        <v>25</v>
      </c>
      <c r="AF23" s="1052"/>
      <c r="AG23" s="1052"/>
      <c r="AH23" s="1052">
        <f>año!G9</f>
        <v>26</v>
      </c>
      <c r="AI23" s="1052"/>
      <c r="AJ23" s="1052"/>
      <c r="AK23" s="1052">
        <f>año!H9</f>
        <v>27</v>
      </c>
      <c r="AL23" s="1052"/>
      <c r="AM23" s="1052"/>
      <c r="AN23" s="1064">
        <f>año!I9</f>
        <v>28</v>
      </c>
      <c r="AO23" s="1064"/>
      <c r="AP23" s="1206"/>
    </row>
    <row r="24" spans="2:42" ht="9" customHeight="1">
      <c r="B24" s="140"/>
      <c r="C24" s="351"/>
      <c r="D24" s="351"/>
      <c r="E24" s="351"/>
      <c r="F24" s="351"/>
      <c r="G24" s="351"/>
      <c r="H24" s="351"/>
      <c r="I24" s="351"/>
      <c r="J24" s="351"/>
      <c r="K24" s="351"/>
      <c r="L24" s="351"/>
      <c r="M24" s="351"/>
      <c r="N24" s="351"/>
      <c r="O24" s="351"/>
      <c r="P24" s="351"/>
      <c r="Q24" s="351"/>
      <c r="R24" s="351"/>
      <c r="S24" s="351"/>
      <c r="T24" s="351"/>
      <c r="U24" s="352"/>
      <c r="V24" s="1200"/>
      <c r="W24" s="1052"/>
      <c r="X24" s="1052"/>
      <c r="Y24" s="1052"/>
      <c r="Z24" s="1052"/>
      <c r="AA24" s="1052"/>
      <c r="AB24" s="1052"/>
      <c r="AC24" s="1052"/>
      <c r="AD24" s="1052"/>
      <c r="AE24" s="1052"/>
      <c r="AF24" s="1052"/>
      <c r="AG24" s="1052"/>
      <c r="AH24" s="1052"/>
      <c r="AI24" s="1052"/>
      <c r="AJ24" s="1052"/>
      <c r="AK24" s="1052"/>
      <c r="AL24" s="1052"/>
      <c r="AM24" s="1052"/>
      <c r="AN24" s="1064"/>
      <c r="AO24" s="1064"/>
      <c r="AP24" s="1206"/>
    </row>
    <row r="25" spans="2:42" ht="9" customHeight="1">
      <c r="B25" s="140"/>
      <c r="C25" s="351"/>
      <c r="D25" s="351"/>
      <c r="E25" s="351"/>
      <c r="F25" s="351"/>
      <c r="G25" s="351"/>
      <c r="H25" s="351"/>
      <c r="I25" s="351"/>
      <c r="J25" s="351"/>
      <c r="K25" s="351"/>
      <c r="L25" s="351"/>
      <c r="M25" s="351"/>
      <c r="N25" s="351"/>
      <c r="O25" s="351"/>
      <c r="P25" s="351"/>
      <c r="Q25" s="351"/>
      <c r="R25" s="351"/>
      <c r="S25" s="351"/>
      <c r="T25" s="351"/>
      <c r="U25" s="352"/>
      <c r="V25" s="1200"/>
      <c r="W25" s="1052"/>
      <c r="X25" s="1052"/>
      <c r="Y25" s="1052"/>
      <c r="Z25" s="1052"/>
      <c r="AA25" s="1052"/>
      <c r="AB25" s="1052"/>
      <c r="AC25" s="1052"/>
      <c r="AD25" s="1052"/>
      <c r="AE25" s="1052"/>
      <c r="AF25" s="1052"/>
      <c r="AG25" s="1052"/>
      <c r="AH25" s="1052"/>
      <c r="AI25" s="1052"/>
      <c r="AJ25" s="1052"/>
      <c r="AK25" s="1052"/>
      <c r="AL25" s="1052"/>
      <c r="AM25" s="1052"/>
      <c r="AN25" s="1064"/>
      <c r="AO25" s="1064"/>
      <c r="AP25" s="1206"/>
    </row>
    <row r="26" spans="2:42" ht="9" customHeight="1">
      <c r="B26" s="140"/>
      <c r="C26" s="351"/>
      <c r="D26" s="351"/>
      <c r="E26" s="351"/>
      <c r="F26" s="351"/>
      <c r="G26" s="351"/>
      <c r="H26" s="351"/>
      <c r="I26" s="351"/>
      <c r="J26" s="351"/>
      <c r="K26" s="351"/>
      <c r="L26" s="351"/>
      <c r="M26" s="351"/>
      <c r="N26" s="351"/>
      <c r="O26" s="351"/>
      <c r="P26" s="351"/>
      <c r="Q26" s="351"/>
      <c r="R26" s="351"/>
      <c r="S26" s="351"/>
      <c r="T26" s="351"/>
      <c r="U26" s="352"/>
      <c r="V26" s="1202" t="str">
        <f>IF(V23&lt;&gt;" ",VLOOKUP(V23,$F$41:$H$71,2)," ")</f>
        <v>Vicente Mártir</v>
      </c>
      <c r="W26" s="1050"/>
      <c r="X26" s="1050"/>
      <c r="Y26" s="1050" t="str">
        <f>IF(Y23&lt;&gt;" ",VLOOKUP(Y23,$F$41:$H$71,2)," ")</f>
        <v>Ildefonso</v>
      </c>
      <c r="Z26" s="1050"/>
      <c r="AA26" s="1050"/>
      <c r="AB26" s="1050" t="str">
        <f>IF(AB23&lt;&gt;" ",VLOOKUP(AB23,$F$41:$H$71,2)," ")</f>
        <v>Francisco Sales</v>
      </c>
      <c r="AC26" s="1050"/>
      <c r="AD26" s="1050"/>
      <c r="AE26" s="1050" t="str">
        <f>IF(AE23&lt;&gt;" ",VLOOKUP(AE23,$F$41:$H$71,2)," ")</f>
        <v>Elvira</v>
      </c>
      <c r="AF26" s="1050"/>
      <c r="AG26" s="1050"/>
      <c r="AH26" s="1050" t="str">
        <f>IF(AH23&lt;&gt;" ",VLOOKUP(AH23,$F$41:$H$71,2)," ")</f>
        <v>Timoteo/Paula</v>
      </c>
      <c r="AI26" s="1050"/>
      <c r="AJ26" s="1050"/>
      <c r="AK26" s="1050" t="str">
        <f>IF(AK23&lt;&gt;" ",VLOOKUP(AK23,$F$41:$H$71,2)," ")</f>
        <v>Ángela Merici</v>
      </c>
      <c r="AL26" s="1050"/>
      <c r="AM26" s="1050"/>
      <c r="AN26" s="1050" t="str">
        <f>IF(AN23&lt;&gt;" ",VLOOKUP(AN23,$F$41:$H$71,2)," ")</f>
        <v>Tomás Aquino</v>
      </c>
      <c r="AO26" s="1050"/>
      <c r="AP26" s="1223"/>
    </row>
    <row r="27" spans="2:42" ht="9" customHeight="1">
      <c r="B27" s="140"/>
      <c r="C27" s="351"/>
      <c r="D27" s="351"/>
      <c r="E27" s="351"/>
      <c r="F27" s="351"/>
      <c r="G27" s="351"/>
      <c r="H27" s="351"/>
      <c r="I27" s="351"/>
      <c r="J27" s="351"/>
      <c r="K27" s="351"/>
      <c r="L27" s="351"/>
      <c r="M27" s="351"/>
      <c r="N27" s="351"/>
      <c r="O27" s="351"/>
      <c r="P27" s="351"/>
      <c r="Q27" s="351"/>
      <c r="R27" s="351"/>
      <c r="S27" s="351"/>
      <c r="T27" s="351"/>
      <c r="U27" s="352"/>
      <c r="V27" s="1200">
        <f>año!C10</f>
        <v>29</v>
      </c>
      <c r="W27" s="1052"/>
      <c r="X27" s="1052"/>
      <c r="Y27" s="1052">
        <f>año!D10</f>
        <v>30</v>
      </c>
      <c r="Z27" s="1052"/>
      <c r="AA27" s="1052"/>
      <c r="AB27" s="1052">
        <f>año!E10</f>
        <v>31</v>
      </c>
      <c r="AC27" s="1052"/>
      <c r="AD27" s="1052"/>
      <c r="AE27" s="1052" t="str">
        <f>año!F10</f>
        <v xml:space="preserve"> </v>
      </c>
      <c r="AF27" s="1052"/>
      <c r="AG27" s="1052"/>
      <c r="AH27" s="1052" t="str">
        <f>año!G10</f>
        <v xml:space="preserve"> </v>
      </c>
      <c r="AI27" s="1052"/>
      <c r="AJ27" s="1052"/>
      <c r="AK27" s="1052" t="str">
        <f>año!H10</f>
        <v xml:space="preserve"> </v>
      </c>
      <c r="AL27" s="1052"/>
      <c r="AM27" s="1052"/>
      <c r="AN27" s="1052" t="str">
        <f>año!I10</f>
        <v xml:space="preserve"> </v>
      </c>
      <c r="AO27" s="1052"/>
      <c r="AP27" s="1243"/>
    </row>
    <row r="28" spans="2:42" ht="9" customHeight="1">
      <c r="B28" s="140"/>
      <c r="C28" s="351"/>
      <c r="D28" s="351"/>
      <c r="E28" s="351"/>
      <c r="F28" s="351"/>
      <c r="G28" s="351"/>
      <c r="H28" s="351"/>
      <c r="I28" s="351"/>
      <c r="J28" s="351"/>
      <c r="K28" s="351"/>
      <c r="L28" s="351"/>
      <c r="M28" s="351"/>
      <c r="N28" s="351"/>
      <c r="O28" s="351"/>
      <c r="P28" s="351"/>
      <c r="Q28" s="351"/>
      <c r="R28" s="351"/>
      <c r="S28" s="351"/>
      <c r="T28" s="351"/>
      <c r="U28" s="352"/>
      <c r="V28" s="1200"/>
      <c r="W28" s="1052"/>
      <c r="X28" s="1052"/>
      <c r="Y28" s="1052"/>
      <c r="Z28" s="1052"/>
      <c r="AA28" s="1052"/>
      <c r="AB28" s="1052"/>
      <c r="AC28" s="1052"/>
      <c r="AD28" s="1052"/>
      <c r="AE28" s="1052"/>
      <c r="AF28" s="1052"/>
      <c r="AG28" s="1052"/>
      <c r="AH28" s="1052"/>
      <c r="AI28" s="1052"/>
      <c r="AJ28" s="1052"/>
      <c r="AK28" s="1052"/>
      <c r="AL28" s="1052"/>
      <c r="AM28" s="1052"/>
      <c r="AN28" s="1052"/>
      <c r="AO28" s="1052"/>
      <c r="AP28" s="1243"/>
    </row>
    <row r="29" spans="2:42" ht="9" customHeight="1">
      <c r="B29" s="140"/>
      <c r="C29" s="351"/>
      <c r="D29" s="351"/>
      <c r="E29" s="351"/>
      <c r="F29" s="351"/>
      <c r="G29" s="351"/>
      <c r="H29" s="351"/>
      <c r="I29" s="351"/>
      <c r="J29" s="351"/>
      <c r="K29" s="351"/>
      <c r="L29" s="351"/>
      <c r="M29" s="351"/>
      <c r="N29" s="351"/>
      <c r="O29" s="351"/>
      <c r="P29" s="351"/>
      <c r="Q29" s="351"/>
      <c r="R29" s="351"/>
      <c r="S29" s="351"/>
      <c r="T29" s="351"/>
      <c r="U29" s="352"/>
      <c r="V29" s="1200"/>
      <c r="W29" s="1052"/>
      <c r="X29" s="1052"/>
      <c r="Y29" s="1052"/>
      <c r="Z29" s="1052"/>
      <c r="AA29" s="1052"/>
      <c r="AB29" s="1052"/>
      <c r="AC29" s="1052"/>
      <c r="AD29" s="1052"/>
      <c r="AE29" s="1052"/>
      <c r="AF29" s="1052"/>
      <c r="AG29" s="1052"/>
      <c r="AH29" s="1052"/>
      <c r="AI29" s="1052"/>
      <c r="AJ29" s="1052"/>
      <c r="AK29" s="1052"/>
      <c r="AL29" s="1052"/>
      <c r="AM29" s="1052"/>
      <c r="AN29" s="1052"/>
      <c r="AO29" s="1052"/>
      <c r="AP29" s="1243"/>
    </row>
    <row r="30" spans="2:42" ht="9" customHeight="1">
      <c r="B30" s="140"/>
      <c r="C30" s="351"/>
      <c r="D30" s="351"/>
      <c r="E30" s="351"/>
      <c r="F30" s="351"/>
      <c r="G30" s="351"/>
      <c r="H30" s="351"/>
      <c r="I30" s="351"/>
      <c r="J30" s="351"/>
      <c r="K30" s="351"/>
      <c r="L30" s="351"/>
      <c r="M30" s="351"/>
      <c r="N30" s="351"/>
      <c r="O30" s="351"/>
      <c r="P30" s="351"/>
      <c r="Q30" s="351"/>
      <c r="R30" s="351"/>
      <c r="S30" s="351"/>
      <c r="T30" s="351"/>
      <c r="U30" s="352"/>
      <c r="V30" s="1202" t="str">
        <f>IF(V27&lt;&gt;" ",VLOOKUP(V27,$F$41:$H$71,2)," ")</f>
        <v>Pedro Nolasco</v>
      </c>
      <c r="W30" s="1050"/>
      <c r="X30" s="1050"/>
      <c r="Y30" s="1050" t="str">
        <f>IF(Y27&lt;&gt;" ",VLOOKUP(Y27,$F$41:$H$71,2)," ")</f>
        <v>Martina/Jacinta</v>
      </c>
      <c r="Z30" s="1050"/>
      <c r="AA30" s="1050"/>
      <c r="AB30" s="1050" t="str">
        <f>IF(AB27&lt;&gt;" ",VLOOKUP(AB27,$F$41:$H$71,2)," ")</f>
        <v>Juan Bosco</v>
      </c>
      <c r="AC30" s="1050"/>
      <c r="AD30" s="1050"/>
      <c r="AE30" s="1050" t="str">
        <f>IF(AE27&lt;&gt;" ",VLOOKUP(AE27,$F$41:$H$71,2)," ")</f>
        <v xml:space="preserve"> </v>
      </c>
      <c r="AF30" s="1050"/>
      <c r="AG30" s="1050"/>
      <c r="AH30" s="1050" t="str">
        <f>IF(AH27&lt;&gt;" ",VLOOKUP(AH27,$F$41:$H$71,2)," ")</f>
        <v xml:space="preserve"> </v>
      </c>
      <c r="AI30" s="1050"/>
      <c r="AJ30" s="1050"/>
      <c r="AK30" s="1050" t="str">
        <f>IF(AK27&lt;&gt;" ",VLOOKUP(AK27,$F$41:$H$71,2)," ")</f>
        <v xml:space="preserve"> </v>
      </c>
      <c r="AL30" s="1050"/>
      <c r="AM30" s="1050"/>
      <c r="AN30" s="1050" t="str">
        <f>IF(AN27&lt;&gt;" ",VLOOKUP(AN27,$F$41:$H$71,2)," ")</f>
        <v xml:space="preserve"> </v>
      </c>
      <c r="AO30" s="1050"/>
      <c r="AP30" s="1223"/>
    </row>
    <row r="31" spans="2:42" ht="10.5" customHeight="1">
      <c r="B31" s="1207" t="s">
        <v>992</v>
      </c>
      <c r="C31" s="782"/>
      <c r="D31" s="782"/>
      <c r="E31" s="782"/>
      <c r="F31" s="782"/>
      <c r="G31" s="782"/>
      <c r="H31" s="782"/>
      <c r="I31" s="782"/>
      <c r="J31" s="782"/>
      <c r="K31" s="782"/>
      <c r="L31" s="782"/>
      <c r="M31" s="782"/>
      <c r="N31" s="782"/>
      <c r="O31" s="782"/>
      <c r="P31" s="782"/>
      <c r="Q31" s="782"/>
      <c r="R31" s="782"/>
      <c r="S31" s="782"/>
      <c r="T31" s="782"/>
      <c r="U31" s="1102"/>
      <c r="V31" s="1200" t="str">
        <f>año!C11</f>
        <v xml:space="preserve"> </v>
      </c>
      <c r="W31" s="1052"/>
      <c r="X31" s="1052"/>
      <c r="Y31" s="1052" t="str">
        <f>año!D11</f>
        <v xml:space="preserve"> </v>
      </c>
      <c r="Z31" s="1052"/>
      <c r="AA31" s="1052"/>
      <c r="AB31" s="1052" t="str">
        <f>año!E11</f>
        <v xml:space="preserve"> </v>
      </c>
      <c r="AC31" s="1052"/>
      <c r="AD31" s="1052"/>
      <c r="AE31" s="189"/>
      <c r="AF31" s="193"/>
      <c r="AG31" s="192"/>
      <c r="AH31" s="194"/>
      <c r="AI31" s="194"/>
      <c r="AJ31" s="192"/>
      <c r="AK31" s="194"/>
      <c r="AL31" s="194"/>
      <c r="AM31" s="192"/>
      <c r="AN31" s="193"/>
      <c r="AO31" s="194"/>
      <c r="AP31" s="364"/>
    </row>
    <row r="32" spans="2:42" ht="10.5" customHeight="1">
      <c r="B32" s="1207"/>
      <c r="C32" s="782"/>
      <c r="D32" s="782"/>
      <c r="E32" s="782"/>
      <c r="F32" s="782"/>
      <c r="G32" s="782"/>
      <c r="H32" s="782"/>
      <c r="I32" s="782"/>
      <c r="J32" s="782"/>
      <c r="K32" s="782"/>
      <c r="L32" s="782"/>
      <c r="M32" s="782"/>
      <c r="N32" s="782"/>
      <c r="O32" s="782"/>
      <c r="P32" s="782"/>
      <c r="Q32" s="782"/>
      <c r="R32" s="782"/>
      <c r="S32" s="782"/>
      <c r="T32" s="782"/>
      <c r="U32" s="1102"/>
      <c r="V32" s="1200"/>
      <c r="W32" s="1052"/>
      <c r="X32" s="1052"/>
      <c r="Y32" s="1052"/>
      <c r="Z32" s="1052"/>
      <c r="AA32" s="1052"/>
      <c r="AB32" s="1052"/>
      <c r="AC32" s="1052"/>
      <c r="AD32" s="1052"/>
      <c r="AE32" s="189"/>
      <c r="AF32" s="193"/>
      <c r="AG32" s="192" t="s">
        <v>247</v>
      </c>
      <c r="AH32" s="194"/>
      <c r="AI32" s="194"/>
      <c r="AJ32" s="192" t="s">
        <v>247</v>
      </c>
      <c r="AK32" s="194"/>
      <c r="AL32" s="194"/>
      <c r="AM32" s="192" t="s">
        <v>247</v>
      </c>
      <c r="AN32" s="193"/>
      <c r="AO32" s="194"/>
      <c r="AP32" s="364" t="s">
        <v>247</v>
      </c>
    </row>
    <row r="33" spans="2:42" ht="10.5" customHeight="1">
      <c r="B33" s="1207"/>
      <c r="C33" s="782"/>
      <c r="D33" s="782"/>
      <c r="E33" s="782"/>
      <c r="F33" s="782"/>
      <c r="G33" s="782"/>
      <c r="H33" s="782"/>
      <c r="I33" s="782"/>
      <c r="J33" s="782"/>
      <c r="K33" s="782"/>
      <c r="L33" s="782"/>
      <c r="M33" s="782"/>
      <c r="N33" s="782"/>
      <c r="O33" s="782"/>
      <c r="P33" s="782"/>
      <c r="Q33" s="782"/>
      <c r="R33" s="782"/>
      <c r="S33" s="782"/>
      <c r="T33" s="782"/>
      <c r="U33" s="1102"/>
      <c r="V33" s="1200"/>
      <c r="W33" s="1052"/>
      <c r="X33" s="1052"/>
      <c r="Y33" s="1052"/>
      <c r="Z33" s="1052"/>
      <c r="AA33" s="1052"/>
      <c r="AB33" s="1052"/>
      <c r="AC33" s="1052"/>
      <c r="AD33" s="1052"/>
      <c r="AE33" s="189"/>
      <c r="AF33" s="1067">
        <f>luna!$O$63</f>
        <v>26</v>
      </c>
      <c r="AG33" s="1068"/>
      <c r="AH33" s="194"/>
      <c r="AI33" s="1073">
        <f>luna!$R$63</f>
        <v>2</v>
      </c>
      <c r="AJ33" s="1068"/>
      <c r="AK33" s="194"/>
      <c r="AL33" s="1073">
        <f>luna!$Q$63</f>
        <v>11</v>
      </c>
      <c r="AM33" s="1068"/>
      <c r="AN33" s="193"/>
      <c r="AO33" s="193"/>
      <c r="AP33" s="365">
        <f>luna!$P$63</f>
        <v>18</v>
      </c>
    </row>
    <row r="34" spans="2:42" ht="9" customHeight="1">
      <c r="B34" s="1246"/>
      <c r="C34" s="1104"/>
      <c r="D34" s="1104"/>
      <c r="E34" s="1104"/>
      <c r="F34" s="1104"/>
      <c r="G34" s="1104"/>
      <c r="H34" s="1104"/>
      <c r="I34" s="1104"/>
      <c r="J34" s="1104"/>
      <c r="K34" s="1104"/>
      <c r="L34" s="1104"/>
      <c r="M34" s="1104"/>
      <c r="N34" s="1104"/>
      <c r="O34" s="1104"/>
      <c r="P34" s="1104"/>
      <c r="Q34" s="1104"/>
      <c r="R34" s="1104"/>
      <c r="S34" s="1104"/>
      <c r="T34" s="1104"/>
      <c r="U34" s="1105"/>
      <c r="V34" s="1118" t="str">
        <f>IF(V31&lt;&gt;" ",VLOOKUP(V31,$F$41:$H$71,2)," ")</f>
        <v xml:space="preserve"> </v>
      </c>
      <c r="W34" s="1119"/>
      <c r="X34" s="1119"/>
      <c r="Y34" s="1119" t="str">
        <f>IF(Y31&lt;&gt;" ",VLOOKUP(Y31,$F$41:$H$71,2)," ")</f>
        <v xml:space="preserve"> </v>
      </c>
      <c r="Z34" s="1119"/>
      <c r="AA34" s="1119"/>
      <c r="AB34" s="355"/>
      <c r="AC34" s="355"/>
      <c r="AD34" s="355"/>
      <c r="AE34" s="1078" t="s">
        <v>597</v>
      </c>
      <c r="AF34" s="1079"/>
      <c r="AG34" s="1080"/>
      <c r="AH34" s="1204" t="s">
        <v>598</v>
      </c>
      <c r="AI34" s="1204"/>
      <c r="AJ34" s="1204"/>
      <c r="AK34" s="1204" t="s">
        <v>599</v>
      </c>
      <c r="AL34" s="1204"/>
      <c r="AM34" s="1204"/>
      <c r="AN34" s="1204" t="s">
        <v>600</v>
      </c>
      <c r="AO34" s="1204"/>
      <c r="AP34" s="1205"/>
    </row>
    <row r="35" spans="2:42" ht="13.8" thickBot="1">
      <c r="B35" s="664">
        <v>1</v>
      </c>
      <c r="C35" s="661" t="s">
        <v>376</v>
      </c>
      <c r="D35" s="661"/>
      <c r="E35" s="661"/>
      <c r="F35" s="661"/>
      <c r="G35" s="665">
        <f>AK19</f>
        <v>20</v>
      </c>
      <c r="H35" s="618">
        <f>AN19</f>
        <v>21</v>
      </c>
      <c r="I35" s="661" t="s">
        <v>378</v>
      </c>
      <c r="J35" s="661"/>
      <c r="K35" s="661"/>
      <c r="L35" s="661"/>
      <c r="M35" s="661"/>
      <c r="N35" s="657">
        <v>6</v>
      </c>
      <c r="O35" s="657">
        <v>7</v>
      </c>
      <c r="P35" s="666">
        <f>O35+1</f>
        <v>8</v>
      </c>
      <c r="Q35" s="661" t="s">
        <v>971</v>
      </c>
      <c r="R35" s="661"/>
      <c r="S35" s="661"/>
      <c r="T35" s="661"/>
      <c r="U35" s="661"/>
      <c r="V35" s="661"/>
      <c r="W35" s="661"/>
      <c r="X35" s="661"/>
      <c r="Y35" s="358"/>
      <c r="Z35" s="358"/>
      <c r="AA35" s="358"/>
      <c r="AB35" s="358"/>
      <c r="AC35" s="358"/>
      <c r="AD35" s="358"/>
      <c r="AE35" s="358"/>
      <c r="AF35" s="358"/>
      <c r="AG35" s="358"/>
      <c r="AH35" s="358"/>
      <c r="AI35" s="358"/>
      <c r="AJ35" s="358"/>
      <c r="AK35" s="358"/>
      <c r="AL35" s="358"/>
      <c r="AM35" s="358"/>
      <c r="AN35" s="358"/>
      <c r="AO35" s="358"/>
      <c r="AP35" s="367"/>
    </row>
    <row r="36" spans="2:42" ht="14.25" customHeight="1" thickBot="1">
      <c r="B36" s="664">
        <v>6</v>
      </c>
      <c r="C36" s="408" t="s">
        <v>377</v>
      </c>
      <c r="D36" s="408"/>
      <c r="E36" s="408"/>
      <c r="F36" s="408"/>
      <c r="G36" s="1247" t="s">
        <v>379</v>
      </c>
      <c r="H36" s="1248"/>
      <c r="I36" s="1249"/>
      <c r="J36" s="408" t="s">
        <v>380</v>
      </c>
      <c r="K36" s="408"/>
      <c r="L36" s="408"/>
      <c r="M36" s="408"/>
      <c r="N36" s="667">
        <v>25</v>
      </c>
      <c r="O36" s="408" t="s">
        <v>972</v>
      </c>
      <c r="P36" s="408"/>
      <c r="Q36" s="408"/>
      <c r="R36" s="668">
        <f>año!$B$32</f>
        <v>14</v>
      </c>
      <c r="S36" s="408" t="s">
        <v>69</v>
      </c>
      <c r="T36" s="408"/>
      <c r="U36" s="1232">
        <f>FEBRERO!T37</f>
        <v>45382</v>
      </c>
      <c r="V36" s="1232"/>
      <c r="W36" s="1231" t="str">
        <f>FEBRERO!T36</f>
        <v>Pascua</v>
      </c>
      <c r="X36" s="1070"/>
      <c r="Y36" s="930"/>
      <c r="Z36" s="165"/>
      <c r="AA36" s="1089" t="s">
        <v>412</v>
      </c>
      <c r="AB36" s="1090"/>
      <c r="AC36" s="1090"/>
      <c r="AD36" s="1090"/>
      <c r="AE36" s="1090"/>
      <c r="AF36" s="1090"/>
      <c r="AG36" s="1091"/>
      <c r="AH36" s="165"/>
      <c r="AI36" s="1092" t="s">
        <v>411</v>
      </c>
      <c r="AJ36" s="1093"/>
      <c r="AK36" s="1093"/>
      <c r="AL36" s="1093"/>
      <c r="AM36" s="1093"/>
      <c r="AN36" s="1093"/>
      <c r="AO36" s="1094"/>
      <c r="AP36" s="359"/>
    </row>
    <row r="37" spans="2:42" ht="14.25" customHeight="1" thickBot="1">
      <c r="B37" s="1230">
        <f>año!$C$35</f>
        <v>45355</v>
      </c>
      <c r="C37" s="1158"/>
      <c r="D37" s="662" t="s">
        <v>875</v>
      </c>
      <c r="E37" s="662"/>
      <c r="F37" s="662"/>
      <c r="G37" s="662"/>
      <c r="H37" s="662"/>
      <c r="I37" s="662"/>
      <c r="J37" s="662"/>
      <c r="K37" s="662"/>
      <c r="L37" s="662"/>
      <c r="M37" s="662"/>
      <c r="N37" s="662"/>
      <c r="O37" s="662"/>
      <c r="P37" s="662"/>
      <c r="Q37" s="662"/>
      <c r="R37" s="662"/>
      <c r="S37" s="662"/>
      <c r="T37" s="662"/>
      <c r="U37" s="669"/>
      <c r="V37" s="669"/>
      <c r="W37" s="662"/>
      <c r="X37" s="662"/>
      <c r="Y37" s="360"/>
      <c r="Z37" s="360"/>
      <c r="AA37" s="360"/>
      <c r="AB37" s="360"/>
      <c r="AC37" s="360"/>
      <c r="AD37" s="360"/>
      <c r="AE37" s="360"/>
      <c r="AF37" s="360"/>
      <c r="AG37" s="360"/>
      <c r="AH37" s="360"/>
      <c r="AI37" s="360"/>
      <c r="AJ37" s="360"/>
      <c r="AK37" s="360"/>
      <c r="AL37" s="360"/>
      <c r="AM37" s="360"/>
      <c r="AN37" s="360"/>
      <c r="AO37" s="360"/>
      <c r="AP37" s="354"/>
    </row>
    <row r="38" spans="2:42" hidden="1">
      <c r="Z38" s="224" t="s">
        <v>375</v>
      </c>
      <c r="AD38">
        <f>año!AM12</f>
        <v>20</v>
      </c>
    </row>
    <row r="39" spans="2:42" hidden="1">
      <c r="B39" t="str">
        <f>FEBRERO!B39</f>
        <v>no</v>
      </c>
      <c r="C39">
        <f>FEBRERO!C39</f>
        <v>4</v>
      </c>
      <c r="AD39">
        <f>año!AM13</f>
        <v>21</v>
      </c>
      <c r="AL39">
        <f>MOD(calendario!$AC$7-31,7)</f>
        <v>5</v>
      </c>
      <c r="AO39">
        <f>año!$AJ$10</f>
        <v>14</v>
      </c>
    </row>
    <row r="40" spans="2:42" hidden="1">
      <c r="B40">
        <f>FEBRERO!B40</f>
        <v>3</v>
      </c>
    </row>
    <row r="41" spans="2:42" ht="14.4" hidden="1">
      <c r="F41" s="175">
        <v>1</v>
      </c>
      <c r="G41" s="175" t="s">
        <v>601</v>
      </c>
      <c r="N41" s="326"/>
    </row>
    <row r="42" spans="2:42" ht="14.4" hidden="1">
      <c r="F42" s="175">
        <v>2</v>
      </c>
      <c r="G42" s="215" t="s">
        <v>878</v>
      </c>
      <c r="N42" s="326"/>
    </row>
    <row r="43" spans="2:42" ht="14.4" hidden="1">
      <c r="F43" s="175">
        <v>3</v>
      </c>
      <c r="G43" s="175" t="s">
        <v>415</v>
      </c>
      <c r="N43" s="326"/>
    </row>
    <row r="44" spans="2:42" ht="14.4" hidden="1">
      <c r="F44" s="175">
        <v>4</v>
      </c>
      <c r="G44" s="175" t="s">
        <v>416</v>
      </c>
      <c r="N44" s="326"/>
    </row>
    <row r="45" spans="2:42" ht="14.4" hidden="1">
      <c r="F45" s="175">
        <v>5</v>
      </c>
      <c r="G45" s="215" t="s">
        <v>939</v>
      </c>
      <c r="N45" s="326"/>
    </row>
    <row r="46" spans="2:42" ht="14.4" hidden="1">
      <c r="F46" s="175">
        <v>6</v>
      </c>
      <c r="G46" s="175" t="s">
        <v>377</v>
      </c>
      <c r="N46" s="326"/>
      <c r="R46" s="261"/>
    </row>
    <row r="47" spans="2:42" ht="14.4" hidden="1">
      <c r="F47" s="175">
        <v>7</v>
      </c>
      <c r="G47" s="175" t="s">
        <v>418</v>
      </c>
      <c r="N47" s="326"/>
    </row>
    <row r="48" spans="2:42" ht="14.4" hidden="1">
      <c r="F48" s="175">
        <v>8</v>
      </c>
      <c r="G48" s="215" t="s">
        <v>940</v>
      </c>
      <c r="N48" s="326"/>
    </row>
    <row r="49" spans="6:14" ht="14.4" hidden="1">
      <c r="F49" s="175">
        <v>9</v>
      </c>
      <c r="G49" s="215" t="s">
        <v>938</v>
      </c>
      <c r="N49" s="326"/>
    </row>
    <row r="50" spans="6:14" ht="14.4" hidden="1">
      <c r="F50" s="175">
        <v>10</v>
      </c>
      <c r="G50" s="175" t="s">
        <v>602</v>
      </c>
      <c r="N50" s="326"/>
    </row>
    <row r="51" spans="6:14" ht="14.4" hidden="1">
      <c r="F51" s="175">
        <v>11</v>
      </c>
      <c r="G51" s="175" t="s">
        <v>454</v>
      </c>
      <c r="N51" s="326"/>
    </row>
    <row r="52" spans="6:14" ht="14.4" hidden="1">
      <c r="F52" s="175">
        <v>12</v>
      </c>
      <c r="G52" s="215" t="s">
        <v>879</v>
      </c>
      <c r="N52" s="326"/>
    </row>
    <row r="53" spans="6:14" ht="14.4" hidden="1">
      <c r="F53" s="175">
        <v>13</v>
      </c>
      <c r="G53" s="175" t="s">
        <v>419</v>
      </c>
      <c r="N53" s="326"/>
    </row>
    <row r="54" spans="6:14" ht="14.4" hidden="1">
      <c r="F54" s="175">
        <v>14</v>
      </c>
      <c r="G54" s="175" t="s">
        <v>603</v>
      </c>
      <c r="N54" s="326"/>
    </row>
    <row r="55" spans="6:14" ht="14.4" hidden="1">
      <c r="F55" s="175">
        <v>15</v>
      </c>
      <c r="G55" s="215" t="s">
        <v>880</v>
      </c>
      <c r="N55" s="326"/>
    </row>
    <row r="56" spans="6:14" ht="14.4" hidden="1">
      <c r="F56" s="175">
        <v>16</v>
      </c>
      <c r="G56" s="215" t="s">
        <v>881</v>
      </c>
      <c r="N56" s="326"/>
    </row>
    <row r="57" spans="6:14" ht="14.4" hidden="1">
      <c r="F57" s="175">
        <v>17</v>
      </c>
      <c r="G57" s="175" t="s">
        <v>427</v>
      </c>
      <c r="N57" s="326"/>
    </row>
    <row r="58" spans="6:14" ht="14.4" hidden="1">
      <c r="F58" s="175">
        <v>18</v>
      </c>
      <c r="G58" s="215" t="s">
        <v>941</v>
      </c>
      <c r="N58" s="326"/>
    </row>
    <row r="59" spans="6:14" ht="14.4" hidden="1">
      <c r="F59" s="175">
        <v>19</v>
      </c>
      <c r="G59" s="175" t="s">
        <v>605</v>
      </c>
      <c r="N59" s="326"/>
    </row>
    <row r="60" spans="6:14" ht="14.4" hidden="1">
      <c r="F60" s="175">
        <v>20</v>
      </c>
      <c r="G60" s="175" t="s">
        <v>420</v>
      </c>
      <c r="N60" s="326"/>
    </row>
    <row r="61" spans="6:14" ht="14.4" hidden="1">
      <c r="F61" s="175">
        <v>21</v>
      </c>
      <c r="G61" s="175" t="s">
        <v>423</v>
      </c>
      <c r="N61" s="326"/>
    </row>
    <row r="62" spans="6:14" ht="14.4" hidden="1">
      <c r="F62" s="175">
        <v>22</v>
      </c>
      <c r="G62" s="175" t="s">
        <v>421</v>
      </c>
      <c r="N62" s="326"/>
    </row>
    <row r="63" spans="6:14" ht="14.4" hidden="1">
      <c r="F63" s="175">
        <v>23</v>
      </c>
      <c r="G63" s="175" t="s">
        <v>422</v>
      </c>
      <c r="N63" s="326"/>
    </row>
    <row r="64" spans="6:14" ht="14.4" hidden="1">
      <c r="F64" s="175">
        <v>24</v>
      </c>
      <c r="G64" s="215" t="s">
        <v>882</v>
      </c>
      <c r="N64" s="326"/>
    </row>
    <row r="65" spans="6:14" ht="14.4" hidden="1">
      <c r="F65" s="175">
        <v>25</v>
      </c>
      <c r="G65" s="175" t="s">
        <v>424</v>
      </c>
      <c r="N65" s="326"/>
    </row>
    <row r="66" spans="6:14" ht="14.4" hidden="1">
      <c r="F66" s="175">
        <v>26</v>
      </c>
      <c r="G66" s="215" t="s">
        <v>883</v>
      </c>
      <c r="N66" s="326"/>
    </row>
    <row r="67" spans="6:14" ht="14.4" hidden="1">
      <c r="F67" s="175">
        <v>27</v>
      </c>
      <c r="G67" s="175" t="s">
        <v>604</v>
      </c>
      <c r="N67" s="326"/>
    </row>
    <row r="68" spans="6:14" ht="14.4" hidden="1">
      <c r="F68" s="175">
        <v>28</v>
      </c>
      <c r="G68" s="175" t="s">
        <v>425</v>
      </c>
      <c r="N68" s="326"/>
    </row>
    <row r="69" spans="6:14" ht="14.4" hidden="1">
      <c r="F69" s="175">
        <v>29</v>
      </c>
      <c r="G69" s="215" t="s">
        <v>942</v>
      </c>
      <c r="N69" s="326"/>
    </row>
    <row r="70" spans="6:14" ht="14.4" hidden="1">
      <c r="F70" s="175">
        <v>30</v>
      </c>
      <c r="G70" s="215" t="s">
        <v>943</v>
      </c>
      <c r="N70" s="326"/>
    </row>
    <row r="71" spans="6:14" ht="14.4" hidden="1">
      <c r="F71" s="175">
        <v>31</v>
      </c>
      <c r="G71" s="175" t="s">
        <v>426</v>
      </c>
      <c r="N71" s="326"/>
    </row>
  </sheetData>
  <customSheetViews>
    <customSheetView guid="{93FD35E9-1E2C-4BB9-BB5F-2E73C17EC4AF}" scale="115" showGridLines="0" showRowCol="0" outlineSymbols="0" zeroValues="0" hiddenRows="1">
      <selection activeCell="U74" sqref="U74"/>
      <pageMargins left="0.17" right="0.47" top="0.53" bottom="2.93" header="0" footer="0"/>
      <pageSetup paperSize="9" orientation="landscape" horizontalDpi="300" verticalDpi="300" r:id="rId1"/>
      <headerFooter alignWithMargins="0"/>
    </customSheetView>
  </customSheetViews>
  <mergeCells count="103">
    <mergeCell ref="AN14:AP14"/>
    <mergeCell ref="Y23:AA25"/>
    <mergeCell ref="AE14:AG14"/>
    <mergeCell ref="AB15:AD17"/>
    <mergeCell ref="AB23:AD25"/>
    <mergeCell ref="AB18:AD18"/>
    <mergeCell ref="Y19:AA21"/>
    <mergeCell ref="AB19:AD21"/>
    <mergeCell ref="V26:X26"/>
    <mergeCell ref="Y26:AA26"/>
    <mergeCell ref="AK14:AM14"/>
    <mergeCell ref="AK26:AM26"/>
    <mergeCell ref="AE34:AG34"/>
    <mergeCell ref="AF33:AG33"/>
    <mergeCell ref="AE15:AG17"/>
    <mergeCell ref="AE19:AG21"/>
    <mergeCell ref="AE23:AG25"/>
    <mergeCell ref="AE26:AG26"/>
    <mergeCell ref="AA36:AG36"/>
    <mergeCell ref="C1:T4"/>
    <mergeCell ref="B31:U34"/>
    <mergeCell ref="G36:I36"/>
    <mergeCell ref="V30:X30"/>
    <mergeCell ref="Y34:AA34"/>
    <mergeCell ref="V31:X33"/>
    <mergeCell ref="Y30:AA30"/>
    <mergeCell ref="AE30:AG30"/>
    <mergeCell ref="AB30:AD30"/>
    <mergeCell ref="AE22:AG22"/>
    <mergeCell ref="AB27:AD29"/>
    <mergeCell ref="AE27:AG29"/>
    <mergeCell ref="AB22:AD22"/>
    <mergeCell ref="V34:X34"/>
    <mergeCell ref="Y31:AA33"/>
    <mergeCell ref="AB31:AD33"/>
    <mergeCell ref="AI36:AO36"/>
    <mergeCell ref="AK15:AM17"/>
    <mergeCell ref="AN15:AP17"/>
    <mergeCell ref="AH19:AJ21"/>
    <mergeCell ref="AK19:AM21"/>
    <mergeCell ref="AN19:AP21"/>
    <mergeCell ref="AN27:AP29"/>
    <mergeCell ref="AK23:AM25"/>
    <mergeCell ref="AN23:AP25"/>
    <mergeCell ref="AK18:AM18"/>
    <mergeCell ref="AN18:AP18"/>
    <mergeCell ref="AH34:AJ34"/>
    <mergeCell ref="AK34:AM34"/>
    <mergeCell ref="AN34:AP34"/>
    <mergeCell ref="AK22:AM22"/>
    <mergeCell ref="AN22:AP22"/>
    <mergeCell ref="AN26:AP26"/>
    <mergeCell ref="AN30:AP30"/>
    <mergeCell ref="AK27:AM29"/>
    <mergeCell ref="AH30:AJ30"/>
    <mergeCell ref="AK30:AM30"/>
    <mergeCell ref="AL33:AM33"/>
    <mergeCell ref="AI33:AJ33"/>
    <mergeCell ref="AH26:AJ26"/>
    <mergeCell ref="AN11:AP13"/>
    <mergeCell ref="AA1:AB1"/>
    <mergeCell ref="V11:X13"/>
    <mergeCell ref="Y11:AA13"/>
    <mergeCell ref="AB11:AD13"/>
    <mergeCell ref="V10:X10"/>
    <mergeCell ref="Y10:AA10"/>
    <mergeCell ref="AB10:AD10"/>
    <mergeCell ref="AD2:AH4"/>
    <mergeCell ref="AE10:AG10"/>
    <mergeCell ref="AJ1:AN1"/>
    <mergeCell ref="AO1:AP1"/>
    <mergeCell ref="AN10:AP10"/>
    <mergeCell ref="AH10:AJ10"/>
    <mergeCell ref="AK10:AM10"/>
    <mergeCell ref="AE11:AG13"/>
    <mergeCell ref="AD5:AH7"/>
    <mergeCell ref="V1:Z1"/>
    <mergeCell ref="AK11:AM13"/>
    <mergeCell ref="AH11:AJ13"/>
    <mergeCell ref="AH27:AJ29"/>
    <mergeCell ref="AH23:AJ25"/>
    <mergeCell ref="AH14:AJ14"/>
    <mergeCell ref="AE18:AG18"/>
    <mergeCell ref="AH18:AJ18"/>
    <mergeCell ref="AH22:AJ22"/>
    <mergeCell ref="AH15:AJ17"/>
    <mergeCell ref="B37:C37"/>
    <mergeCell ref="W36:Y36"/>
    <mergeCell ref="AB14:AD14"/>
    <mergeCell ref="V14:X14"/>
    <mergeCell ref="Y14:AA14"/>
    <mergeCell ref="V27:X29"/>
    <mergeCell ref="Y27:AA29"/>
    <mergeCell ref="V15:X17"/>
    <mergeCell ref="Y15:AA17"/>
    <mergeCell ref="V19:X21"/>
    <mergeCell ref="V22:X22"/>
    <mergeCell ref="Y22:AA22"/>
    <mergeCell ref="V18:X18"/>
    <mergeCell ref="Y18:AA18"/>
    <mergeCell ref="AB26:AD26"/>
    <mergeCell ref="V23:X25"/>
    <mergeCell ref="U36:V36"/>
  </mergeCells>
  <phoneticPr fontId="24" type="noConversion"/>
  <conditionalFormatting sqref="AK11:AP13 V15:AJ17 AA3:AB3 V4:Z4 N35:N36">
    <cfRule type="cellIs" dxfId="6" priority="7" stopIfTrue="1" operator="equal">
      <formula>6</formula>
    </cfRule>
  </conditionalFormatting>
  <conditionalFormatting sqref="AL4:AL7">
    <cfRule type="cellIs" dxfId="5" priority="8" stopIfTrue="1" operator="equal">
      <formula>$AO$39</formula>
    </cfRule>
  </conditionalFormatting>
  <conditionalFormatting sqref="Y6:AB6 V7:X7">
    <cfRule type="cellIs" dxfId="4" priority="11" stopIfTrue="1" operator="equal">
      <formula>25</formula>
    </cfRule>
  </conditionalFormatting>
  <conditionalFormatting sqref="V11:AP13">
    <cfRule type="cellIs" dxfId="3" priority="6" stopIfTrue="1" operator="equal">
      <formula>1</formula>
    </cfRule>
  </conditionalFormatting>
  <conditionalFormatting sqref="V4:AB4 N35:P35 N36">
    <cfRule type="cellIs" dxfId="2" priority="10" stopIfTrue="1" operator="equal">
      <formula>8</formula>
    </cfRule>
  </conditionalFormatting>
  <conditionalFormatting sqref="AJ3:AJ8">
    <cfRule type="cellIs" dxfId="1" priority="5" operator="equal">
      <formula>$B$39</formula>
    </cfRule>
  </conditionalFormatting>
  <conditionalFormatting sqref="AB3 V4:AA4 N35:O35 N36">
    <cfRule type="cellIs" dxfId="0" priority="4" operator="equal">
      <formula>7</formula>
    </cfRule>
  </conditionalFormatting>
  <hyperlinks>
    <hyperlink ref="AD5:AH7" location="año!A1" display="año!A1"/>
    <hyperlink ref="AJ1:AN1" location="FEBRERO!A1" display="FEBRERO!A1"/>
    <hyperlink ref="AI36:AO36" location="PORTADA!A1" display="IR A PORTADA"/>
    <hyperlink ref="AA36:AG36" location="año!A1" display="IR A AÑO COMPLETO"/>
  </hyperlinks>
  <pageMargins left="0.17" right="0.47" top="0.53" bottom="2.93" header="0" footer="0"/>
  <pageSetup paperSize="9" orientation="landscape" horizontalDpi="300" verticalDpi="300" r:id="rId2"/>
  <headerFooter alignWithMargins="0"/>
  <drawing r:id="rId3"/>
</worksheet>
</file>

<file path=xl/worksheets/sheet18.xml><?xml version="1.0" encoding="utf-8"?>
<worksheet xmlns="http://schemas.openxmlformats.org/spreadsheetml/2006/main" xmlns:r="http://schemas.openxmlformats.org/officeDocument/2006/relationships">
  <dimension ref="A1"/>
  <sheetViews>
    <sheetView showGridLines="0" showRowColHeaders="0" zoomScale="125" zoomScaleNormal="125" workbookViewId="0"/>
  </sheetViews>
  <sheetFormatPr baseColWidth="10" defaultRowHeight="13.2"/>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dimension ref="A1"/>
  <sheetViews>
    <sheetView showGridLines="0" showRowColHeaders="0" topLeftCell="A13" zoomScale="135" zoomScaleNormal="135" workbookViewId="0">
      <selection activeCell="O35" sqref="O35"/>
    </sheetView>
  </sheetViews>
  <sheetFormatPr baseColWidth="10" defaultRowHeight="13.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Hoja3"/>
  <dimension ref="A1:I26"/>
  <sheetViews>
    <sheetView showGridLines="0" showZeros="0" showOutlineSymbols="0" workbookViewId="0"/>
  </sheetViews>
  <sheetFormatPr baseColWidth="10" defaultColWidth="11.5546875" defaultRowHeight="13.2"/>
  <cols>
    <col min="1" max="1" width="26.5546875" style="30" customWidth="1"/>
    <col min="2" max="2" width="11.33203125" style="30" customWidth="1"/>
    <col min="3" max="3" width="9.88671875" style="30" customWidth="1"/>
    <col min="4" max="4" width="9.33203125" style="30" customWidth="1"/>
    <col min="5" max="5" width="5.109375" style="30" customWidth="1"/>
    <col min="6" max="6" width="27.88671875" style="30" customWidth="1"/>
    <col min="7" max="7" width="7.88671875" style="30" customWidth="1"/>
    <col min="8" max="8" width="8.5546875" style="30" customWidth="1"/>
    <col min="9" max="9" width="9.44140625" style="30" customWidth="1"/>
    <col min="10" max="11" width="11.5546875" style="30" customWidth="1"/>
    <col min="12" max="16384" width="11.5546875" style="30"/>
  </cols>
  <sheetData>
    <row r="1" spans="1:9" ht="27" customHeight="1" thickBot="1">
      <c r="A1" s="46">
        <f>año!$O$1</f>
        <v>2024</v>
      </c>
      <c r="B1" s="47" t="s">
        <v>215</v>
      </c>
    </row>
    <row r="2" spans="1:9" ht="15" customHeight="1">
      <c r="A2" s="48" t="s">
        <v>216</v>
      </c>
      <c r="B2" s="48" t="s">
        <v>217</v>
      </c>
      <c r="C2" s="49" t="s">
        <v>218</v>
      </c>
      <c r="D2" s="48" t="s">
        <v>219</v>
      </c>
      <c r="E2" s="50"/>
      <c r="F2" s="48" t="s">
        <v>216</v>
      </c>
      <c r="G2" s="48" t="s">
        <v>217</v>
      </c>
      <c r="H2" s="51" t="s">
        <v>220</v>
      </c>
      <c r="I2" s="48" t="s">
        <v>219</v>
      </c>
    </row>
    <row r="3" spans="1:9" ht="15" customHeight="1">
      <c r="A3" s="48" t="s">
        <v>221</v>
      </c>
      <c r="B3" s="52">
        <f>A1/19</f>
        <v>106.52631578947368</v>
      </c>
      <c r="C3" s="49">
        <f>INT(A1/19)</f>
        <v>106</v>
      </c>
      <c r="D3" s="53">
        <f>MOD(A1,19)</f>
        <v>10</v>
      </c>
      <c r="F3" s="48" t="s">
        <v>221</v>
      </c>
      <c r="G3" s="54"/>
      <c r="H3" s="48"/>
      <c r="I3" s="55" t="s">
        <v>222</v>
      </c>
    </row>
    <row r="4" spans="1:9" ht="15" customHeight="1">
      <c r="A4" s="48" t="s">
        <v>223</v>
      </c>
      <c r="B4" s="52">
        <f>A1/100</f>
        <v>20.239999999999998</v>
      </c>
      <c r="C4" s="56">
        <f>INT(A1/100)</f>
        <v>20</v>
      </c>
      <c r="D4" s="57">
        <f>MOD(A1,100)</f>
        <v>24</v>
      </c>
      <c r="E4" s="50"/>
      <c r="F4" s="48" t="s">
        <v>223</v>
      </c>
      <c r="G4" s="54"/>
      <c r="H4" s="56" t="s">
        <v>224</v>
      </c>
      <c r="I4" s="58" t="s">
        <v>225</v>
      </c>
    </row>
    <row r="5" spans="1:9" ht="15" customHeight="1">
      <c r="A5" s="48" t="s">
        <v>226</v>
      </c>
      <c r="B5" s="52">
        <f>C4/4</f>
        <v>5</v>
      </c>
      <c r="C5" s="59">
        <f>INT(C4/4)</f>
        <v>5</v>
      </c>
      <c r="D5" s="60">
        <f>MOD(C4,4)</f>
        <v>0</v>
      </c>
      <c r="E5" s="50"/>
      <c r="F5" s="48" t="s">
        <v>226</v>
      </c>
      <c r="G5" s="54"/>
      <c r="H5" s="59" t="s">
        <v>227</v>
      </c>
      <c r="I5" s="61" t="s">
        <v>228</v>
      </c>
    </row>
    <row r="6" spans="1:9" ht="15" customHeight="1">
      <c r="A6" s="48" t="s">
        <v>229</v>
      </c>
      <c r="B6" s="52">
        <f>(C4+8)/25</f>
        <v>1.1200000000000001</v>
      </c>
      <c r="C6" s="62">
        <f>INT((C4+8)/25)</f>
        <v>1</v>
      </c>
      <c r="D6" s="63" t="s">
        <v>230</v>
      </c>
      <c r="E6" s="64"/>
      <c r="F6" s="48" t="s">
        <v>229</v>
      </c>
      <c r="G6" s="54"/>
      <c r="H6" s="62" t="s">
        <v>231</v>
      </c>
      <c r="I6" s="48" t="s">
        <v>230</v>
      </c>
    </row>
    <row r="7" spans="1:9" ht="15" customHeight="1">
      <c r="A7" s="48" t="s">
        <v>232</v>
      </c>
      <c r="B7" s="52">
        <f>(C4-C6+1)/3</f>
        <v>6.666666666666667</v>
      </c>
      <c r="C7" s="65">
        <f>INT((C4-C6+1)/3)</f>
        <v>6</v>
      </c>
      <c r="D7" s="63" t="s">
        <v>230</v>
      </c>
      <c r="E7" s="64"/>
      <c r="F7" s="48" t="s">
        <v>232</v>
      </c>
      <c r="G7" s="54"/>
      <c r="H7" s="65" t="s">
        <v>233</v>
      </c>
      <c r="I7" s="48" t="s">
        <v>230</v>
      </c>
    </row>
    <row r="8" spans="1:9" ht="15" customHeight="1">
      <c r="A8" s="48" t="s">
        <v>234</v>
      </c>
      <c r="B8" s="52">
        <f>((19*D3+C4-C5-C7+15)/30)</f>
        <v>7.1333333333333337</v>
      </c>
      <c r="C8" s="48" t="s">
        <v>235</v>
      </c>
      <c r="D8" s="66">
        <f>MOD((19*D3+C4-C5-C7+15),30)</f>
        <v>4</v>
      </c>
      <c r="E8" s="64"/>
      <c r="F8" s="48" t="s">
        <v>234</v>
      </c>
      <c r="G8" s="54"/>
      <c r="H8" s="48" t="s">
        <v>235</v>
      </c>
      <c r="I8" s="67" t="s">
        <v>236</v>
      </c>
    </row>
    <row r="9" spans="1:9" ht="15" customHeight="1">
      <c r="A9" s="48" t="s">
        <v>237</v>
      </c>
      <c r="B9" s="52">
        <f>D4/4</f>
        <v>6</v>
      </c>
      <c r="C9" s="68">
        <f>INT(D4/4)</f>
        <v>6</v>
      </c>
      <c r="D9" s="69">
        <f>MOD(D4,4)</f>
        <v>0</v>
      </c>
      <c r="E9" s="64"/>
      <c r="F9" s="48" t="s">
        <v>237</v>
      </c>
      <c r="G9" s="54"/>
      <c r="H9" s="68" t="s">
        <v>238</v>
      </c>
      <c r="I9" s="70" t="s">
        <v>239</v>
      </c>
    </row>
    <row r="10" spans="1:9" ht="15" customHeight="1">
      <c r="A10" s="48" t="s">
        <v>240</v>
      </c>
      <c r="B10" s="52">
        <f>(32+2*D5+2*C9-D8-D9)/7</f>
        <v>5.7142857142857144</v>
      </c>
      <c r="C10" s="48" t="s">
        <v>230</v>
      </c>
      <c r="D10" s="71">
        <f>MOD((32+2*D5+2*C9-D8-D9),7)</f>
        <v>5</v>
      </c>
      <c r="E10" s="64"/>
      <c r="F10" s="48" t="s">
        <v>240</v>
      </c>
      <c r="G10" s="54"/>
      <c r="H10" s="48" t="s">
        <v>230</v>
      </c>
      <c r="I10" s="72" t="s">
        <v>241</v>
      </c>
    </row>
    <row r="11" spans="1:9" ht="15" customHeight="1">
      <c r="A11" s="48" t="s">
        <v>242</v>
      </c>
      <c r="B11" s="52">
        <f>(D3+11*D8+22*D10)/451</f>
        <v>0.36363636363636365</v>
      </c>
      <c r="C11" s="73">
        <f>INT((D3+11*D8+22*D10)/451)</f>
        <v>0</v>
      </c>
      <c r="D11" s="63" t="s">
        <v>230</v>
      </c>
      <c r="E11" s="64"/>
      <c r="F11" s="48" t="s">
        <v>242</v>
      </c>
      <c r="G11" s="54"/>
      <c r="H11" s="73" t="s">
        <v>243</v>
      </c>
      <c r="I11" s="48" t="s">
        <v>230</v>
      </c>
    </row>
    <row r="12" spans="1:9" ht="15" customHeight="1">
      <c r="A12" s="48" t="s">
        <v>244</v>
      </c>
      <c r="B12" s="52">
        <f>((D8+D10-7*C11+114)/31)</f>
        <v>3.967741935483871</v>
      </c>
      <c r="C12" s="74">
        <f>INT((D8+D10-7*C11+114)/31)</f>
        <v>3</v>
      </c>
      <c r="D12" s="75">
        <f>MOD((D8+D10-7*C11+114),31)</f>
        <v>30</v>
      </c>
      <c r="E12" s="64"/>
      <c r="F12" s="48" t="s">
        <v>244</v>
      </c>
      <c r="G12" s="54"/>
      <c r="H12" s="74" t="s">
        <v>245</v>
      </c>
      <c r="I12" s="74" t="s">
        <v>246</v>
      </c>
    </row>
    <row r="13" spans="1:9" ht="15" customHeight="1">
      <c r="A13" s="48">
        <f>D12+1</f>
        <v>31</v>
      </c>
      <c r="B13" s="52">
        <f>C12</f>
        <v>3</v>
      </c>
      <c r="C13" s="48" t="s">
        <v>230</v>
      </c>
      <c r="D13" s="63"/>
      <c r="E13" s="64"/>
      <c r="F13" s="48" t="s">
        <v>247</v>
      </c>
      <c r="G13" s="54" t="s">
        <v>3</v>
      </c>
      <c r="H13" s="48" t="s">
        <v>230</v>
      </c>
      <c r="I13" s="48"/>
    </row>
    <row r="14" spans="1:9" ht="21">
      <c r="A14" s="76">
        <f>A13</f>
        <v>31</v>
      </c>
      <c r="B14" s="77" t="str">
        <f>IF(B13=3,"MARZO","ABRIL")</f>
        <v>MARZO</v>
      </c>
      <c r="C14" s="78" t="s">
        <v>238</v>
      </c>
      <c r="D14" s="79">
        <f>IF(D8&gt;28,D8-1,D8)</f>
        <v>4</v>
      </c>
      <c r="E14" s="64"/>
      <c r="I14" s="80" t="s">
        <v>238</v>
      </c>
    </row>
    <row r="15" spans="1:9">
      <c r="E15" s="64"/>
      <c r="F15" s="737" t="s">
        <v>248</v>
      </c>
      <c r="G15" s="738"/>
      <c r="H15" s="738"/>
      <c r="I15" s="738"/>
    </row>
    <row r="16" spans="1:9">
      <c r="E16" s="64"/>
      <c r="F16" s="64"/>
      <c r="G16" s="45"/>
      <c r="H16" s="45"/>
      <c r="I16" s="94">
        <v>39893</v>
      </c>
    </row>
    <row r="17" spans="1:9">
      <c r="E17" s="64"/>
      <c r="F17" s="47" t="s">
        <v>249</v>
      </c>
      <c r="G17" s="45">
        <f>22+D8+D10-7*C11</f>
        <v>31</v>
      </c>
      <c r="H17" s="45"/>
      <c r="I17" s="45" t="s">
        <v>259</v>
      </c>
    </row>
    <row r="18" spans="1:9" ht="15.6">
      <c r="A18" s="81" t="s">
        <v>250</v>
      </c>
      <c r="E18" s="64"/>
      <c r="F18" s="64"/>
      <c r="G18" s="30" t="str">
        <f>IF(G17&gt;31,"ABRIL","MARZO")</f>
        <v>MARZO</v>
      </c>
      <c r="I18" s="95">
        <f>I16+D14</f>
        <v>39897</v>
      </c>
    </row>
    <row r="19" spans="1:9">
      <c r="A19" s="82" t="s">
        <v>251</v>
      </c>
      <c r="B19" s="739">
        <f>MOD(A1,19)</f>
        <v>10</v>
      </c>
      <c r="C19" s="740"/>
      <c r="D19" s="45"/>
      <c r="E19" s="64"/>
      <c r="F19" s="64"/>
    </row>
    <row r="20" spans="1:9">
      <c r="A20" s="83" t="s">
        <v>252</v>
      </c>
      <c r="B20" s="84">
        <f>MOD(A1,7)</f>
        <v>1</v>
      </c>
      <c r="C20" s="44"/>
      <c r="D20" s="45"/>
      <c r="E20" s="64"/>
      <c r="F20" s="64"/>
    </row>
    <row r="21" spans="1:9">
      <c r="A21" s="83" t="s">
        <v>253</v>
      </c>
      <c r="B21" s="84">
        <f>MOD(A1,4)</f>
        <v>0</v>
      </c>
      <c r="C21" s="44"/>
      <c r="D21" s="45"/>
      <c r="E21" s="64"/>
      <c r="F21" s="64"/>
    </row>
    <row r="22" spans="1:9" ht="13.8" thickBot="1">
      <c r="A22" s="83" t="s">
        <v>254</v>
      </c>
      <c r="B22" s="44">
        <f>MOD((19*B19+15),30)</f>
        <v>25</v>
      </c>
      <c r="C22" s="44"/>
      <c r="D22" s="45"/>
      <c r="E22" s="64"/>
      <c r="F22" s="64"/>
    </row>
    <row r="23" spans="1:9" ht="30.6" thickBot="1">
      <c r="A23" s="83" t="s">
        <v>255</v>
      </c>
      <c r="B23" s="44">
        <f>MOD((2*B21+4*B20-B22+34),7)</f>
        <v>6</v>
      </c>
      <c r="C23" s="44"/>
      <c r="D23" s="45"/>
      <c r="E23" s="64"/>
      <c r="F23" s="85" t="s">
        <v>0</v>
      </c>
      <c r="G23" s="86">
        <f>IF(A1+0&lt;1583,C24,A14)</f>
        <v>31</v>
      </c>
      <c r="H23" s="86" t="str">
        <f>IF(A1+0&lt;1583,D24,G18)</f>
        <v>MARZO</v>
      </c>
      <c r="I23" s="87"/>
    </row>
    <row r="24" spans="1:9" ht="15.6">
      <c r="A24" s="88" t="s">
        <v>256</v>
      </c>
      <c r="B24" s="44">
        <f>22+B22+B23</f>
        <v>53</v>
      </c>
      <c r="C24" s="89">
        <f>IF(B24&gt;31,B24-31,B24)</f>
        <v>22</v>
      </c>
      <c r="D24" s="45" t="str">
        <f>IF(B24&gt;31,"ABRIL","MARZO")</f>
        <v>ABRIL</v>
      </c>
      <c r="E24" s="64"/>
      <c r="F24" s="64"/>
    </row>
    <row r="25" spans="1:9">
      <c r="C25" s="90"/>
      <c r="D25" s="45"/>
      <c r="E25" s="64"/>
      <c r="F25" s="64"/>
    </row>
    <row r="26" spans="1:9">
      <c r="E26" s="64"/>
      <c r="F26" s="64"/>
    </row>
  </sheetData>
  <sheetProtection password="888B" sheet="1" objects="1" scenarios="1"/>
  <customSheetViews>
    <customSheetView guid="{93FD35E9-1E2C-4BB9-BB5F-2E73C17EC4AF}" showGridLines="0" outlineSymbols="0" zeroValues="0" state="hidden">
      <pageMargins left="0.75" right="0.75" top="1" bottom="1" header="0" footer="0"/>
      <headerFooter alignWithMargins="0"/>
    </customSheetView>
  </customSheetViews>
  <mergeCells count="2">
    <mergeCell ref="F15:I15"/>
    <mergeCell ref="B19:C19"/>
  </mergeCells>
  <phoneticPr fontId="24" type="noConversion"/>
  <pageMargins left="0.75" right="0.75" top="1" bottom="1" header="0" footer="0"/>
  <headerFooter alignWithMargins="0"/>
</worksheet>
</file>

<file path=xl/worksheets/sheet20.xml><?xml version="1.0" encoding="utf-8"?>
<worksheet xmlns="http://schemas.openxmlformats.org/spreadsheetml/2006/main" xmlns:r="http://schemas.openxmlformats.org/officeDocument/2006/relationships">
  <dimension ref="A1"/>
  <sheetViews>
    <sheetView showGridLines="0" showRowColHeaders="0" topLeftCell="A15" zoomScale="135" zoomScaleNormal="135" workbookViewId="0"/>
  </sheetViews>
  <sheetFormatPr baseColWidth="10" defaultRowHeight="13.2"/>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dimension ref="A1"/>
  <sheetViews>
    <sheetView showGridLines="0" showRowColHeaders="0" tabSelected="1" topLeftCell="A15" zoomScale="130" zoomScaleNormal="130" workbookViewId="0">
      <selection activeCell="I37" sqref="I37"/>
    </sheetView>
  </sheetViews>
  <sheetFormatPr baseColWidth="10" defaultRowHeight="13.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Hoja5"/>
  <dimension ref="B1:AR35"/>
  <sheetViews>
    <sheetView showGridLines="0" showRowColHeaders="0" showZeros="0" showOutlineSymbols="0" topLeftCell="A2" zoomScale="140" zoomScaleNormal="140" workbookViewId="0">
      <selection activeCell="M32" sqref="M32"/>
    </sheetView>
  </sheetViews>
  <sheetFormatPr baseColWidth="10" defaultColWidth="3.33203125" defaultRowHeight="13.2"/>
  <cols>
    <col min="1" max="1" width="1.33203125" customWidth="1"/>
    <col min="2" max="41" width="3.33203125" customWidth="1"/>
    <col min="42" max="42" width="2.33203125" customWidth="1"/>
  </cols>
  <sheetData>
    <row r="1" spans="2:44" ht="13.8" thickBot="1"/>
    <row r="2" spans="2:44" ht="10.5" customHeight="1" thickBot="1">
      <c r="B2" s="747"/>
      <c r="C2" s="202"/>
      <c r="D2" s="139"/>
      <c r="E2" s="139"/>
      <c r="F2" s="139"/>
      <c r="G2" s="139"/>
      <c r="H2" s="139"/>
      <c r="I2" s="139"/>
      <c r="J2" s="139"/>
      <c r="K2" s="139"/>
      <c r="L2" s="139"/>
      <c r="M2" s="139"/>
      <c r="N2" s="139"/>
      <c r="O2" s="139"/>
      <c r="P2" s="139"/>
      <c r="Q2" s="389"/>
      <c r="R2" s="389"/>
      <c r="S2" s="389"/>
      <c r="T2" s="389"/>
      <c r="U2" s="389"/>
      <c r="V2" s="390"/>
      <c r="W2" s="389"/>
      <c r="X2" s="389"/>
      <c r="Y2" s="389"/>
      <c r="Z2" s="389"/>
      <c r="AA2" s="389"/>
      <c r="AB2" s="389"/>
      <c r="AC2" s="139"/>
      <c r="AD2" s="139"/>
      <c r="AE2" s="139"/>
      <c r="AF2" s="139"/>
      <c r="AG2" s="749" t="s">
        <v>364</v>
      </c>
      <c r="AH2" s="750"/>
      <c r="AI2" s="750"/>
      <c r="AJ2" s="750"/>
      <c r="AK2" s="750"/>
      <c r="AL2" s="750"/>
      <c r="AM2" s="750"/>
      <c r="AN2" s="750"/>
      <c r="AO2" s="751"/>
      <c r="AP2" s="143"/>
      <c r="AR2" s="136"/>
    </row>
    <row r="3" spans="2:44" ht="10.5" customHeight="1" thickBot="1">
      <c r="B3" s="748"/>
      <c r="C3" s="118"/>
      <c r="D3" s="118"/>
      <c r="E3" s="118"/>
      <c r="F3" s="118"/>
      <c r="G3" s="118"/>
      <c r="H3" s="118"/>
      <c r="I3" s="118"/>
      <c r="J3" s="118"/>
      <c r="K3" s="118"/>
      <c r="L3" s="118"/>
      <c r="M3" s="118"/>
      <c r="N3" s="118"/>
      <c r="O3" s="118"/>
      <c r="P3" s="118"/>
      <c r="Q3" s="388"/>
      <c r="R3" s="388"/>
      <c r="S3" s="388"/>
      <c r="T3" s="388"/>
      <c r="U3" s="388"/>
      <c r="V3" s="391"/>
      <c r="W3" s="388"/>
      <c r="X3" s="388"/>
      <c r="Y3" s="388"/>
      <c r="Z3" s="388"/>
      <c r="AA3" s="388"/>
      <c r="AB3" s="388"/>
      <c r="AC3" s="118"/>
      <c r="AD3" s="388"/>
      <c r="AE3" s="118"/>
      <c r="AF3" s="118"/>
      <c r="AG3" s="749"/>
      <c r="AH3" s="750"/>
      <c r="AI3" s="750"/>
      <c r="AJ3" s="750"/>
      <c r="AK3" s="750"/>
      <c r="AL3" s="750"/>
      <c r="AM3" s="750"/>
      <c r="AN3" s="750"/>
      <c r="AO3" s="751"/>
      <c r="AP3" s="144"/>
      <c r="AR3" s="136"/>
    </row>
    <row r="4" spans="2:44" ht="10.5" customHeight="1" thickBot="1">
      <c r="B4" s="748"/>
      <c r="C4" s="118"/>
      <c r="D4" s="118"/>
      <c r="E4" s="118"/>
      <c r="F4" s="118"/>
      <c r="G4" s="118"/>
      <c r="H4" s="118"/>
      <c r="I4" s="118"/>
      <c r="J4" s="118"/>
      <c r="K4" s="118"/>
      <c r="L4" s="118"/>
      <c r="N4" s="118"/>
      <c r="O4" s="118"/>
      <c r="P4" s="118"/>
      <c r="Q4" s="118"/>
      <c r="R4" s="118"/>
      <c r="S4" s="118"/>
      <c r="T4" s="118"/>
      <c r="U4" s="118"/>
      <c r="V4" s="118"/>
      <c r="W4" s="118"/>
      <c r="X4" s="118"/>
      <c r="Y4" s="118"/>
      <c r="Z4" s="118"/>
      <c r="AA4" s="118"/>
      <c r="AB4" s="118"/>
      <c r="AC4" s="118"/>
      <c r="AD4" s="118"/>
      <c r="AE4" s="118"/>
      <c r="AF4" s="118"/>
      <c r="AG4" s="761" t="s">
        <v>50</v>
      </c>
      <c r="AH4" s="762"/>
      <c r="AI4" s="762"/>
      <c r="AJ4" s="762"/>
      <c r="AK4" s="762"/>
      <c r="AL4" s="762"/>
      <c r="AM4" s="762"/>
      <c r="AN4" s="762"/>
      <c r="AO4" s="763"/>
      <c r="AP4" s="144"/>
    </row>
    <row r="5" spans="2:44" ht="10.5" customHeight="1" thickBot="1">
      <c r="B5" s="74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761"/>
      <c r="AH5" s="762"/>
      <c r="AI5" s="762"/>
      <c r="AJ5" s="762"/>
      <c r="AK5" s="762"/>
      <c r="AL5" s="762"/>
      <c r="AM5" s="762"/>
      <c r="AN5" s="762"/>
      <c r="AO5" s="763"/>
      <c r="AP5" s="144"/>
    </row>
    <row r="6" spans="2:44" ht="10.5" customHeight="1" thickBot="1">
      <c r="B6" s="74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764" t="s">
        <v>51</v>
      </c>
      <c r="AH6" s="765"/>
      <c r="AI6" s="765"/>
      <c r="AJ6" s="765"/>
      <c r="AK6" s="765"/>
      <c r="AL6" s="765"/>
      <c r="AM6" s="765"/>
      <c r="AN6" s="765"/>
      <c r="AO6" s="766"/>
      <c r="AP6" s="144"/>
    </row>
    <row r="7" spans="2:44" ht="10.5" customHeight="1" thickBot="1">
      <c r="B7" s="748"/>
      <c r="C7" s="118"/>
      <c r="D7" s="118"/>
      <c r="E7" s="118"/>
      <c r="F7" s="118"/>
      <c r="G7" s="118"/>
      <c r="H7" s="118"/>
      <c r="I7" s="118"/>
      <c r="J7" s="118"/>
      <c r="K7" s="118"/>
      <c r="L7" s="118"/>
      <c r="M7" s="118"/>
      <c r="N7" s="118"/>
      <c r="O7" s="118"/>
      <c r="P7" s="118"/>
      <c r="R7" s="118"/>
      <c r="S7" s="118"/>
      <c r="T7" s="118"/>
      <c r="U7" s="118"/>
      <c r="V7" s="118"/>
      <c r="W7" s="118"/>
      <c r="X7" s="118"/>
      <c r="Y7" s="118"/>
      <c r="Z7" s="118"/>
      <c r="AA7" s="118"/>
      <c r="AB7" s="118"/>
      <c r="AC7" s="118"/>
      <c r="AD7" s="118"/>
      <c r="AE7" s="118"/>
      <c r="AF7" s="118"/>
      <c r="AG7" s="764"/>
      <c r="AH7" s="765"/>
      <c r="AI7" s="765"/>
      <c r="AJ7" s="765"/>
      <c r="AK7" s="765"/>
      <c r="AL7" s="765"/>
      <c r="AM7" s="765"/>
      <c r="AN7" s="765"/>
      <c r="AO7" s="766"/>
      <c r="AP7" s="144"/>
    </row>
    <row r="8" spans="2:44" ht="10.5" customHeight="1" thickBot="1">
      <c r="B8" s="74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767" t="s">
        <v>52</v>
      </c>
      <c r="AH8" s="768"/>
      <c r="AI8" s="768"/>
      <c r="AJ8" s="768"/>
      <c r="AK8" s="768"/>
      <c r="AL8" s="768"/>
      <c r="AM8" s="768"/>
      <c r="AN8" s="768"/>
      <c r="AO8" s="769"/>
      <c r="AP8" s="144"/>
    </row>
    <row r="9" spans="2:44" ht="10.5" customHeight="1" thickBot="1">
      <c r="B9" s="748"/>
      <c r="C9" s="118"/>
      <c r="D9" s="118"/>
      <c r="E9" s="118"/>
      <c r="F9" s="118"/>
      <c r="G9" s="118"/>
      <c r="H9" s="118"/>
      <c r="I9" s="118"/>
      <c r="J9" s="118"/>
      <c r="K9" s="118"/>
      <c r="L9" s="118"/>
      <c r="M9" s="118"/>
      <c r="N9" s="118"/>
      <c r="O9" s="118"/>
      <c r="P9" s="118"/>
      <c r="Q9" s="118"/>
      <c r="R9" s="118"/>
      <c r="S9" s="118"/>
      <c r="T9" s="118"/>
      <c r="U9" s="118"/>
      <c r="V9" s="118"/>
      <c r="X9" s="118"/>
      <c r="Y9" s="118"/>
      <c r="Z9" s="118"/>
      <c r="AA9" s="118"/>
      <c r="AB9" s="118"/>
      <c r="AC9" s="118"/>
      <c r="AD9" s="118"/>
      <c r="AE9" s="118"/>
      <c r="AF9" s="118"/>
      <c r="AG9" s="767"/>
      <c r="AH9" s="768"/>
      <c r="AI9" s="768"/>
      <c r="AJ9" s="768"/>
      <c r="AK9" s="768"/>
      <c r="AL9" s="768"/>
      <c r="AM9" s="768"/>
      <c r="AN9" s="768"/>
      <c r="AO9" s="769"/>
      <c r="AP9" s="144"/>
    </row>
    <row r="10" spans="2:44" ht="10.5" customHeight="1" thickBot="1">
      <c r="B10" s="74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770" t="s">
        <v>16</v>
      </c>
      <c r="AH10" s="771"/>
      <c r="AI10" s="771"/>
      <c r="AJ10" s="771"/>
      <c r="AK10" s="771"/>
      <c r="AL10" s="771"/>
      <c r="AM10" s="771"/>
      <c r="AN10" s="771"/>
      <c r="AO10" s="772"/>
      <c r="AP10" s="144"/>
    </row>
    <row r="11" spans="2:44" ht="10.5" customHeight="1" thickBot="1">
      <c r="B11" s="74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770"/>
      <c r="AH11" s="771"/>
      <c r="AI11" s="771"/>
      <c r="AJ11" s="771"/>
      <c r="AK11" s="771"/>
      <c r="AL11" s="771"/>
      <c r="AM11" s="771"/>
      <c r="AN11" s="771"/>
      <c r="AO11" s="772"/>
      <c r="AP11" s="144"/>
    </row>
    <row r="12" spans="2:44" ht="10.5" customHeight="1" thickBot="1">
      <c r="B12" s="74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773" t="s">
        <v>53</v>
      </c>
      <c r="AH12" s="774"/>
      <c r="AI12" s="774"/>
      <c r="AJ12" s="774"/>
      <c r="AK12" s="774"/>
      <c r="AL12" s="774"/>
      <c r="AM12" s="774"/>
      <c r="AN12" s="774"/>
      <c r="AO12" s="775"/>
      <c r="AP12" s="144"/>
    </row>
    <row r="13" spans="2:44" ht="10.5" customHeight="1" thickBot="1">
      <c r="B13" s="74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773"/>
      <c r="AH13" s="774"/>
      <c r="AI13" s="774"/>
      <c r="AJ13" s="774"/>
      <c r="AK13" s="774"/>
      <c r="AL13" s="774"/>
      <c r="AM13" s="774"/>
      <c r="AN13" s="774"/>
      <c r="AO13" s="775"/>
      <c r="AP13" s="144"/>
    </row>
    <row r="14" spans="2:44" ht="10.5" customHeight="1" thickBot="1">
      <c r="B14" s="74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741" t="s">
        <v>54</v>
      </c>
      <c r="AH14" s="742"/>
      <c r="AI14" s="742"/>
      <c r="AJ14" s="742"/>
      <c r="AK14" s="742"/>
      <c r="AL14" s="742"/>
      <c r="AM14" s="742"/>
      <c r="AN14" s="742"/>
      <c r="AO14" s="743"/>
      <c r="AP14" s="144"/>
    </row>
    <row r="15" spans="2:44" ht="10.5" customHeight="1" thickBot="1">
      <c r="B15" s="74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741"/>
      <c r="AH15" s="742"/>
      <c r="AI15" s="742"/>
      <c r="AJ15" s="742"/>
      <c r="AK15" s="742"/>
      <c r="AL15" s="742"/>
      <c r="AM15" s="742"/>
      <c r="AN15" s="742"/>
      <c r="AO15" s="743"/>
      <c r="AP15" s="144"/>
    </row>
    <row r="16" spans="2:44" ht="10.5" customHeight="1" thickBot="1">
      <c r="B16" s="74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744" t="s">
        <v>55</v>
      </c>
      <c r="AH16" s="745"/>
      <c r="AI16" s="745"/>
      <c r="AJ16" s="745"/>
      <c r="AK16" s="745"/>
      <c r="AL16" s="745"/>
      <c r="AM16" s="745"/>
      <c r="AN16" s="745"/>
      <c r="AO16" s="746"/>
      <c r="AP16" s="144"/>
    </row>
    <row r="17" spans="2:43" ht="10.5" customHeight="1" thickBot="1">
      <c r="B17" s="74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744"/>
      <c r="AH17" s="745"/>
      <c r="AI17" s="745"/>
      <c r="AJ17" s="745"/>
      <c r="AK17" s="745"/>
      <c r="AL17" s="745"/>
      <c r="AM17" s="745"/>
      <c r="AN17" s="745"/>
      <c r="AO17" s="746"/>
      <c r="AP17" s="144"/>
    </row>
    <row r="18" spans="2:43" ht="10.5" customHeight="1" thickBot="1">
      <c r="B18" s="74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776" t="s">
        <v>56</v>
      </c>
      <c r="AH18" s="777"/>
      <c r="AI18" s="777"/>
      <c r="AJ18" s="777"/>
      <c r="AK18" s="777"/>
      <c r="AL18" s="777"/>
      <c r="AM18" s="777"/>
      <c r="AN18" s="777"/>
      <c r="AO18" s="778"/>
      <c r="AP18" s="144"/>
    </row>
    <row r="19" spans="2:43" ht="10.5" customHeight="1" thickBot="1">
      <c r="B19" s="74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776"/>
      <c r="AH19" s="777"/>
      <c r="AI19" s="777"/>
      <c r="AJ19" s="777"/>
      <c r="AK19" s="777"/>
      <c r="AL19" s="777"/>
      <c r="AM19" s="777"/>
      <c r="AN19" s="777"/>
      <c r="AO19" s="778"/>
      <c r="AP19" s="144"/>
    </row>
    <row r="20" spans="2:43" ht="10.5" customHeight="1" thickBot="1">
      <c r="B20" s="74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752" t="s">
        <v>57</v>
      </c>
      <c r="AH20" s="753"/>
      <c r="AI20" s="753"/>
      <c r="AJ20" s="753"/>
      <c r="AK20" s="753"/>
      <c r="AL20" s="753"/>
      <c r="AM20" s="753"/>
      <c r="AN20" s="753"/>
      <c r="AO20" s="754"/>
      <c r="AP20" s="144"/>
    </row>
    <row r="21" spans="2:43" ht="10.5" customHeight="1" thickBot="1">
      <c r="B21" s="74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752"/>
      <c r="AH21" s="753"/>
      <c r="AI21" s="753"/>
      <c r="AJ21" s="753"/>
      <c r="AK21" s="753"/>
      <c r="AL21" s="753"/>
      <c r="AM21" s="753"/>
      <c r="AN21" s="753"/>
      <c r="AO21" s="754"/>
      <c r="AP21" s="144"/>
    </row>
    <row r="22" spans="2:43" ht="10.5" customHeight="1" thickBot="1">
      <c r="B22" s="74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755" t="s">
        <v>60</v>
      </c>
      <c r="AH22" s="756"/>
      <c r="AI22" s="756"/>
      <c r="AJ22" s="756"/>
      <c r="AK22" s="756"/>
      <c r="AL22" s="756"/>
      <c r="AM22" s="756"/>
      <c r="AN22" s="756"/>
      <c r="AO22" s="757"/>
      <c r="AP22" s="144"/>
    </row>
    <row r="23" spans="2:43" ht="10.5" customHeight="1" thickBot="1">
      <c r="B23" s="74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755"/>
      <c r="AH23" s="756"/>
      <c r="AI23" s="756"/>
      <c r="AJ23" s="756"/>
      <c r="AK23" s="756"/>
      <c r="AL23" s="756"/>
      <c r="AM23" s="756"/>
      <c r="AN23" s="756"/>
      <c r="AO23" s="757"/>
      <c r="AP23" s="144"/>
    </row>
    <row r="24" spans="2:43" ht="10.5" customHeight="1" thickBot="1">
      <c r="B24" s="74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758" t="s">
        <v>58</v>
      </c>
      <c r="AH24" s="759"/>
      <c r="AI24" s="759"/>
      <c r="AJ24" s="759"/>
      <c r="AK24" s="759"/>
      <c r="AL24" s="759"/>
      <c r="AM24" s="759"/>
      <c r="AN24" s="759"/>
      <c r="AO24" s="760"/>
      <c r="AP24" s="144"/>
    </row>
    <row r="25" spans="2:43" ht="10.5" customHeight="1" thickBot="1">
      <c r="B25" s="748"/>
      <c r="C25" s="118"/>
      <c r="D25" s="118"/>
      <c r="E25" s="118"/>
      <c r="F25" s="118"/>
      <c r="G25" s="118"/>
      <c r="H25" s="118"/>
      <c r="I25" s="118"/>
      <c r="J25" s="118"/>
      <c r="K25" s="118"/>
      <c r="L25" s="118"/>
      <c r="M25" s="118"/>
      <c r="N25" s="118"/>
      <c r="O25" s="351"/>
      <c r="P25" s="782" t="s">
        <v>1004</v>
      </c>
      <c r="Q25" s="782"/>
      <c r="R25" s="782"/>
      <c r="S25" s="782"/>
      <c r="T25" s="782"/>
      <c r="U25" s="782"/>
      <c r="V25" s="782"/>
      <c r="W25" s="782"/>
      <c r="X25" s="782"/>
      <c r="Y25" s="782"/>
      <c r="Z25" s="782"/>
      <c r="AA25" s="782"/>
      <c r="AB25" s="783"/>
      <c r="AC25" s="783"/>
      <c r="AD25" s="783"/>
      <c r="AE25" s="783"/>
      <c r="AF25" s="118"/>
      <c r="AG25" s="758"/>
      <c r="AH25" s="759"/>
      <c r="AI25" s="759"/>
      <c r="AJ25" s="759"/>
      <c r="AK25" s="759"/>
      <c r="AL25" s="759"/>
      <c r="AM25" s="759"/>
      <c r="AN25" s="759"/>
      <c r="AO25" s="760"/>
      <c r="AP25" s="144"/>
    </row>
    <row r="26" spans="2:43" ht="10.5" customHeight="1" thickBot="1">
      <c r="B26" s="140"/>
      <c r="C26" s="118"/>
      <c r="D26" s="118"/>
      <c r="E26" s="118"/>
      <c r="F26" s="118"/>
      <c r="G26" s="118"/>
      <c r="H26" s="118"/>
      <c r="I26" s="118"/>
      <c r="J26" s="118"/>
      <c r="K26" s="118"/>
      <c r="L26" s="118"/>
      <c r="M26" s="118"/>
      <c r="N26" s="118"/>
      <c r="O26" s="695"/>
      <c r="P26" s="782"/>
      <c r="Q26" s="782"/>
      <c r="R26" s="782"/>
      <c r="S26" s="782"/>
      <c r="T26" s="782"/>
      <c r="U26" s="782"/>
      <c r="V26" s="782"/>
      <c r="W26" s="782"/>
      <c r="X26" s="782"/>
      <c r="Y26" s="782"/>
      <c r="Z26" s="782"/>
      <c r="AA26" s="782"/>
      <c r="AB26" s="783"/>
      <c r="AC26" s="783"/>
      <c r="AD26" s="783"/>
      <c r="AE26" s="783"/>
      <c r="AF26" s="118"/>
      <c r="AG26" s="779" t="s">
        <v>59</v>
      </c>
      <c r="AH26" s="780"/>
      <c r="AI26" s="780"/>
      <c r="AJ26" s="780"/>
      <c r="AK26" s="780"/>
      <c r="AL26" s="780"/>
      <c r="AM26" s="780"/>
      <c r="AN26" s="780"/>
      <c r="AO26" s="781"/>
      <c r="AP26" s="144"/>
    </row>
    <row r="27" spans="2:43" ht="10.5" customHeight="1" thickBot="1">
      <c r="B27" s="141"/>
      <c r="C27" s="142"/>
      <c r="D27" s="142"/>
      <c r="E27" s="142"/>
      <c r="F27" s="142"/>
      <c r="G27" s="142"/>
      <c r="H27" s="142"/>
      <c r="I27" s="142"/>
      <c r="J27" s="142"/>
      <c r="K27" s="142"/>
      <c r="L27" s="142"/>
      <c r="M27" s="142"/>
      <c r="N27" s="142"/>
      <c r="O27" s="142"/>
      <c r="P27" s="784"/>
      <c r="Q27" s="784"/>
      <c r="R27" s="784"/>
      <c r="S27" s="784"/>
      <c r="T27" s="784"/>
      <c r="U27" s="784"/>
      <c r="V27" s="784"/>
      <c r="W27" s="784"/>
      <c r="X27" s="784"/>
      <c r="Y27" s="784"/>
      <c r="Z27" s="784"/>
      <c r="AA27" s="784"/>
      <c r="AB27" s="785"/>
      <c r="AC27" s="785"/>
      <c r="AD27" s="785"/>
      <c r="AE27" s="785"/>
      <c r="AF27" s="142"/>
      <c r="AG27" s="779"/>
      <c r="AH27" s="780"/>
      <c r="AI27" s="780"/>
      <c r="AJ27" s="780"/>
      <c r="AK27" s="780"/>
      <c r="AL27" s="780"/>
      <c r="AM27" s="780"/>
      <c r="AN27" s="780"/>
      <c r="AO27" s="781"/>
      <c r="AP27" s="145"/>
    </row>
    <row r="28" spans="2:43" ht="10.5" customHeight="1">
      <c r="B28" s="786" t="s">
        <v>363</v>
      </c>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8"/>
      <c r="AG28" s="795">
        <v>2024</v>
      </c>
      <c r="AH28" s="796"/>
      <c r="AI28" s="796"/>
      <c r="AJ28" s="796"/>
      <c r="AK28" s="796"/>
      <c r="AL28" s="796"/>
      <c r="AM28" s="796"/>
      <c r="AN28" s="796"/>
      <c r="AO28" s="796"/>
      <c r="AP28" s="797"/>
      <c r="AQ28" s="38"/>
    </row>
    <row r="29" spans="2:43" ht="10.5" customHeight="1">
      <c r="B29" s="789"/>
      <c r="C29" s="790"/>
      <c r="D29" s="790"/>
      <c r="E29" s="790"/>
      <c r="F29" s="790"/>
      <c r="G29" s="790"/>
      <c r="H29" s="790"/>
      <c r="I29" s="790"/>
      <c r="J29" s="790"/>
      <c r="K29" s="790"/>
      <c r="L29" s="790"/>
      <c r="M29" s="790"/>
      <c r="N29" s="790"/>
      <c r="O29" s="790"/>
      <c r="P29" s="790"/>
      <c r="Q29" s="790"/>
      <c r="R29" s="790"/>
      <c r="S29" s="790"/>
      <c r="T29" s="790"/>
      <c r="U29" s="790"/>
      <c r="V29" s="790"/>
      <c r="W29" s="790"/>
      <c r="X29" s="790"/>
      <c r="Y29" s="790"/>
      <c r="Z29" s="790"/>
      <c r="AA29" s="790"/>
      <c r="AB29" s="790"/>
      <c r="AC29" s="790"/>
      <c r="AD29" s="790"/>
      <c r="AE29" s="790"/>
      <c r="AF29" s="791"/>
      <c r="AG29" s="798"/>
      <c r="AH29" s="799"/>
      <c r="AI29" s="799"/>
      <c r="AJ29" s="799"/>
      <c r="AK29" s="799"/>
      <c r="AL29" s="799"/>
      <c r="AM29" s="799"/>
      <c r="AN29" s="799"/>
      <c r="AO29" s="799"/>
      <c r="AP29" s="800"/>
    </row>
    <row r="30" spans="2:43" ht="10.5" customHeight="1" thickBot="1">
      <c r="B30" s="792"/>
      <c r="C30" s="793"/>
      <c r="D30" s="793"/>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4"/>
      <c r="AG30" s="801"/>
      <c r="AH30" s="802"/>
      <c r="AI30" s="802"/>
      <c r="AJ30" s="802"/>
      <c r="AK30" s="802"/>
      <c r="AL30" s="802"/>
      <c r="AM30" s="802"/>
      <c r="AN30" s="802"/>
      <c r="AO30" s="802"/>
      <c r="AP30" s="803"/>
    </row>
    <row r="32" spans="2:43">
      <c r="U32" s="117"/>
      <c r="V32" s="117"/>
      <c r="W32" s="117"/>
      <c r="X32" s="117"/>
    </row>
    <row r="33" spans="21:24">
      <c r="U33" s="32"/>
      <c r="V33" s="32"/>
      <c r="W33" s="31"/>
      <c r="X33" s="31"/>
    </row>
    <row r="34" spans="21:24">
      <c r="U34" s="32"/>
      <c r="V34" s="32"/>
      <c r="W34" s="30"/>
      <c r="X34" s="30"/>
    </row>
    <row r="35" spans="21:24">
      <c r="U35" s="32"/>
      <c r="V35" s="32"/>
      <c r="W35" s="30"/>
      <c r="X35" s="30"/>
    </row>
  </sheetData>
  <customSheetViews>
    <customSheetView guid="{93FD35E9-1E2C-4BB9-BB5F-2E73C17EC4AF}" scale="125" showGridLines="0" showRowCol="0" outlineSymbols="0" zeroValues="0">
      <selection activeCell="AG2" sqref="AG2:AO3"/>
      <pageMargins left="0.45" right="0.75" top="1" bottom="2.95" header="0" footer="0"/>
      <pageSetup paperSize="9" orientation="landscape" r:id="rId1"/>
      <headerFooter alignWithMargins="0"/>
    </customSheetView>
  </customSheetViews>
  <mergeCells count="17">
    <mergeCell ref="AG26:AO27"/>
    <mergeCell ref="P25:AE27"/>
    <mergeCell ref="B28:AF30"/>
    <mergeCell ref="AG28:AP30"/>
    <mergeCell ref="AG14:AO15"/>
    <mergeCell ref="AG16:AO17"/>
    <mergeCell ref="B2:B25"/>
    <mergeCell ref="AG2:AO3"/>
    <mergeCell ref="AG20:AO21"/>
    <mergeCell ref="AG22:AO23"/>
    <mergeCell ref="AG24:AO25"/>
    <mergeCell ref="AG4:AO5"/>
    <mergeCell ref="AG6:AO7"/>
    <mergeCell ref="AG8:AO9"/>
    <mergeCell ref="AG10:AO11"/>
    <mergeCell ref="AG12:AO13"/>
    <mergeCell ref="AG18:AO19"/>
  </mergeCells>
  <phoneticPr fontId="24" type="noConversion"/>
  <dataValidations count="1">
    <dataValidation type="whole" operator="greaterThan" allowBlank="1" showInputMessage="1" showErrorMessage="1" error="AÑO INCORRECTO" sqref="AG28:AP30">
      <formula1>0</formula1>
    </dataValidation>
  </dataValidations>
  <hyperlinks>
    <hyperlink ref="AG2:AO3" location="año!A1" display="TODO EL AÑO"/>
    <hyperlink ref="AG4:AO5" location="ENERO!A1" display="ENERO"/>
    <hyperlink ref="AG6:AO7" location="FEBRERO!A1" display="FEBRERO"/>
    <hyperlink ref="AG8:AO9" location="MARZO!A1" display="MARZO"/>
    <hyperlink ref="AG10:AO11" location="ABRIL!A1" display="ABRIL"/>
    <hyperlink ref="AG12:AO13" location="MAYO!A1" display="MAYO"/>
    <hyperlink ref="AG14:AO15" location="JUNIO!A1" display="JUNIO"/>
    <hyperlink ref="AG16:AO17" location="JULIO!A1" display="JULIO"/>
    <hyperlink ref="AG18:AO19" location="AGOSTO!A1" display="AGOSTO"/>
    <hyperlink ref="AG20:AO21" location="SEPTIEMBRE!A1" display="SEPTIEMBRE"/>
    <hyperlink ref="AG22:AO23" location="OCTUBRE!A1" display="OCTUBRE"/>
    <hyperlink ref="AG24:AO25" location="NOVIEMBRE!A1" display="NOVIEMBRE"/>
    <hyperlink ref="AG26:AO27" location="DICIEMBRE!A1" display="DICIEMBRE"/>
  </hyperlinks>
  <pageMargins left="0.25" right="0.25" top="0.75" bottom="0.75" header="0.3" footer="0.3"/>
  <pageSetup paperSize="9" scale="105"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sheetPr codeName="Hoja1">
    <pageSetUpPr autoPageBreaks="0"/>
  </sheetPr>
  <dimension ref="A1:BH148"/>
  <sheetViews>
    <sheetView showGridLines="0" showZeros="0" showOutlineSymbols="0" topLeftCell="A38" workbookViewId="0">
      <selection activeCell="BK143" sqref="BK143"/>
    </sheetView>
  </sheetViews>
  <sheetFormatPr baseColWidth="10" defaultColWidth="4.44140625" defaultRowHeight="13.2"/>
  <cols>
    <col min="1" max="1" width="0.21875" style="47" customWidth="1"/>
    <col min="2" max="2" width="3.21875" style="47" customWidth="1"/>
    <col min="3" max="9" width="4.44140625" style="47" customWidth="1"/>
    <col min="10" max="10" width="2.77734375" style="47" customWidth="1"/>
    <col min="11" max="17" width="4.44140625" style="47" customWidth="1"/>
    <col min="18" max="18" width="2.5546875" style="47" customWidth="1"/>
    <col min="19" max="25" width="4.44140625" style="47" customWidth="1"/>
    <col min="26" max="26" width="2.88671875" style="47" customWidth="1"/>
    <col min="27" max="33" width="4.44140625" style="47" customWidth="1"/>
    <col min="34" max="34" width="2.44140625" style="47" customWidth="1"/>
    <col min="35" max="35" width="4.44140625" style="47" hidden="1" customWidth="1"/>
    <col min="36" max="36" width="8.33203125" style="47" hidden="1" customWidth="1"/>
    <col min="37" max="38" width="4.44140625" style="47" hidden="1" customWidth="1"/>
    <col min="39" max="39" width="6" style="47" hidden="1" customWidth="1"/>
    <col min="40" max="48" width="4.44140625" style="47" hidden="1" customWidth="1"/>
    <col min="49" max="49" width="4" style="47" hidden="1" customWidth="1"/>
    <col min="50" max="50" width="1.88671875" style="47" hidden="1" customWidth="1"/>
    <col min="51" max="51" width="2.5546875" style="47" customWidth="1"/>
    <col min="52" max="52" width="4.44140625" style="47" customWidth="1"/>
    <col min="53" max="53" width="2.33203125" style="47" customWidth="1"/>
    <col min="54" max="54" width="5.33203125" style="47" customWidth="1"/>
    <col min="55" max="55" width="4.44140625" style="47" customWidth="1"/>
    <col min="56" max="56" width="5" style="47" customWidth="1"/>
    <col min="57" max="57" width="7.88671875" style="47" customWidth="1"/>
    <col min="58" max="58" width="5.33203125" style="47" customWidth="1"/>
    <col min="59" max="59" width="4.5546875" style="47" customWidth="1"/>
    <col min="60" max="16384" width="4.44140625" style="47"/>
  </cols>
  <sheetData>
    <row r="1" spans="1:60" ht="12.75" customHeight="1">
      <c r="A1" s="113"/>
      <c r="B1" s="113"/>
      <c r="C1" s="910" t="s">
        <v>90</v>
      </c>
      <c r="D1" s="911"/>
      <c r="E1" s="911"/>
      <c r="F1" s="911"/>
      <c r="G1" s="911"/>
      <c r="H1" s="911"/>
      <c r="I1" s="908" t="str">
        <f>IF(VALUE(O1)&lt;1,"AÑO INCORRECTO","Número aúreo del año")</f>
        <v>Número aúreo del año</v>
      </c>
      <c r="J1" s="909"/>
      <c r="K1" s="909"/>
      <c r="L1" s="909"/>
      <c r="M1" s="909"/>
      <c r="N1" s="906">
        <f>luna!$A$64</f>
        <v>11</v>
      </c>
      <c r="O1" s="912">
        <f>PORTADA!$AG$28</f>
        <v>2024</v>
      </c>
      <c r="P1" s="913"/>
      <c r="Q1" s="913"/>
      <c r="R1" s="913"/>
      <c r="S1" s="913"/>
      <c r="T1" s="914"/>
      <c r="U1" s="903" t="str">
        <f>IF(S37=TRUE,"DATO INCORRECTO","CALENDARIO ANUAL ")</f>
        <v xml:space="preserve">CALENDARIO ANUAL </v>
      </c>
      <c r="V1" s="904"/>
      <c r="W1" s="904"/>
      <c r="X1" s="904"/>
      <c r="Y1" s="904"/>
      <c r="Z1" s="904"/>
      <c r="AA1" s="904"/>
      <c r="AB1" s="904"/>
      <c r="AC1" s="904"/>
      <c r="AD1" s="901" t="s">
        <v>411</v>
      </c>
      <c r="AE1" s="902"/>
      <c r="AF1" s="902"/>
      <c r="AG1" s="902"/>
      <c r="AH1" s="113"/>
      <c r="AI1" s="458">
        <f>IF(AJ1="NO","NO",IF(AJ1=31,1,AJ1+1))</f>
        <v>1</v>
      </c>
      <c r="AJ1" s="47">
        <f>calendario!AK36</f>
        <v>31</v>
      </c>
      <c r="AK1" s="47">
        <f>calendario!AL36</f>
        <v>29</v>
      </c>
      <c r="AM1" s="47" t="s">
        <v>67</v>
      </c>
      <c r="AY1" s="113"/>
      <c r="AZ1" s="841" t="s">
        <v>89</v>
      </c>
      <c r="BA1" s="842"/>
      <c r="BB1" s="842"/>
      <c r="BC1" s="842"/>
      <c r="BD1" s="839" t="s">
        <v>357</v>
      </c>
      <c r="BE1" s="840"/>
      <c r="BF1" s="899">
        <f>IF(BF2="MARZO",luna!$O$65,luna!$O66)</f>
        <v>25</v>
      </c>
      <c r="BG1" s="899"/>
      <c r="BH1" s="423"/>
    </row>
    <row r="2" spans="1:60" ht="13.5" customHeight="1" thickBot="1">
      <c r="A2" s="113"/>
      <c r="B2" s="113"/>
      <c r="C2" s="911"/>
      <c r="D2" s="911"/>
      <c r="E2" s="911"/>
      <c r="F2" s="911"/>
      <c r="G2" s="911"/>
      <c r="H2" s="911"/>
      <c r="I2" s="909"/>
      <c r="J2" s="909"/>
      <c r="K2" s="909"/>
      <c r="L2" s="909"/>
      <c r="M2" s="909"/>
      <c r="N2" s="907"/>
      <c r="O2" s="915"/>
      <c r="P2" s="916"/>
      <c r="Q2" s="916"/>
      <c r="R2" s="916"/>
      <c r="S2" s="916"/>
      <c r="T2" s="917"/>
      <c r="U2" s="905"/>
      <c r="V2" s="904"/>
      <c r="W2" s="904"/>
      <c r="X2" s="904"/>
      <c r="Y2" s="904"/>
      <c r="Z2" s="904"/>
      <c r="AA2" s="904"/>
      <c r="AB2" s="904"/>
      <c r="AC2" s="904"/>
      <c r="AD2" s="902"/>
      <c r="AE2" s="902"/>
      <c r="AF2" s="902"/>
      <c r="AG2" s="902"/>
      <c r="AH2" s="113"/>
      <c r="AI2" s="458" t="str">
        <f>IF(AJ2="NO","NO",AJ2+1)</f>
        <v>NO</v>
      </c>
      <c r="AJ2" s="458" t="str">
        <f>calendario!AK37</f>
        <v>NO</v>
      </c>
      <c r="AK2" s="47" t="str">
        <f>calendario!AL37</f>
        <v/>
      </c>
      <c r="AM2" s="459">
        <f>$G$33</f>
        <v>45382</v>
      </c>
      <c r="AO2" s="47" t="s">
        <v>774</v>
      </c>
      <c r="AP2" s="458">
        <f>IF(AN5=3,AL5,IF(AN5=4,"no",AQ2))</f>
        <v>28</v>
      </c>
      <c r="AQ2" s="458">
        <f>IF(AN5=3,AL5,AR2)</f>
        <v>28</v>
      </c>
      <c r="AR2" s="458">
        <f>IF(AND(AN5=3,AN6=4),1,IF(AN6=3,"no",AS2))</f>
        <v>1</v>
      </c>
      <c r="AS2" s="458" t="str">
        <f>IF(AND(AN5=4,AN6=4),AL5,AT2)</f>
        <v>no</v>
      </c>
      <c r="AT2" s="47" t="str">
        <f>IF(AN6=5,AL5,AU2)</f>
        <v>no</v>
      </c>
      <c r="AU2" s="47" t="str">
        <f>IF(AN6=5,1,"no")</f>
        <v>no</v>
      </c>
      <c r="AY2" s="113"/>
      <c r="AZ2" s="842"/>
      <c r="BA2" s="842"/>
      <c r="BB2" s="842"/>
      <c r="BC2" s="842"/>
      <c r="BD2" s="840"/>
      <c r="BE2" s="840"/>
      <c r="BF2" s="900" t="str">
        <f>luna!$R$93</f>
        <v>MARZO</v>
      </c>
      <c r="BG2" s="900"/>
      <c r="BH2" s="423"/>
    </row>
    <row r="3" spans="1:60" ht="13.8" thickBot="1">
      <c r="A3" s="113"/>
      <c r="B3" s="113"/>
      <c r="C3" s="807" t="str">
        <f>IF(AND(O1+0&lt;1583,O1+0&gt;324),"DATOS MENOS FIABLES ANTES DE 1583",IF(O1+0&lt;325,"DATOS TEORICOS ANTES CONCILIO NICEA(325)",IF(AND(O1+0&gt;1899,O1+0&lt;2101),"DATOS COMPLETAMENTE FIABLES","DATOS RELATIVAMENTE FIABLES")))</f>
        <v>DATOS COMPLETAMENTE FIABLES</v>
      </c>
      <c r="D3" s="808"/>
      <c r="E3" s="808"/>
      <c r="F3" s="808"/>
      <c r="G3" s="808"/>
      <c r="H3" s="808"/>
      <c r="I3" s="808"/>
      <c r="J3" s="424"/>
      <c r="K3" s="809" t="s">
        <v>0</v>
      </c>
      <c r="L3" s="809"/>
      <c r="M3" s="810">
        <f>AM2</f>
        <v>45382</v>
      </c>
      <c r="N3" s="811"/>
      <c r="O3" s="460" t="s">
        <v>95</v>
      </c>
      <c r="P3" s="425"/>
      <c r="Q3" s="425"/>
      <c r="R3" s="425"/>
      <c r="S3" s="425"/>
      <c r="T3" s="426"/>
      <c r="U3" s="461">
        <f>IF(AND(Y10=" ",O1-1996&gt;-1),Y9,IF(O1-1996&gt;-1,Y10," "))</f>
        <v>31</v>
      </c>
      <c r="V3" s="427" t="str">
        <f>IF(U3&lt;&gt;" ","MAR-CAMBIO HORA(+1H)"," ")</f>
        <v>MAR-CAMBIO HORA(+1H)</v>
      </c>
      <c r="W3" s="427"/>
      <c r="X3" s="427"/>
      <c r="Y3" s="427"/>
      <c r="Z3" s="427"/>
      <c r="AA3" s="35" t="str">
        <f>IF(O1+0&lt;1583,"CALENDARIO JULIANO","CALENDARIO GREGORIANO")</f>
        <v>CALENDARIO GREGORIANO</v>
      </c>
      <c r="AB3" s="35"/>
      <c r="AC3" s="35"/>
      <c r="AD3" s="35"/>
      <c r="AE3" s="35"/>
      <c r="AF3" s="35"/>
      <c r="AG3" s="35"/>
      <c r="AH3" s="113"/>
      <c r="AJ3" s="47" t="s">
        <v>112</v>
      </c>
      <c r="AK3" s="47" t="s">
        <v>111</v>
      </c>
      <c r="AM3" s="47">
        <f>DAY(AM2)</f>
        <v>31</v>
      </c>
      <c r="AN3" s="47">
        <f>MONTH(AM2)</f>
        <v>3</v>
      </c>
      <c r="AO3" s="47" t="s">
        <v>773</v>
      </c>
      <c r="AP3" s="458">
        <f>IF(AND(AN3=3,AN6=3),AL6,IF(AN5=4,"no",AQ3))</f>
        <v>31</v>
      </c>
      <c r="AQ3" s="458">
        <f>IF(AND(AN5=3,AN6=4),31,AR3)</f>
        <v>31</v>
      </c>
      <c r="AR3" s="458">
        <f>IF(AND(AN5=3,AN6=4),AL6,IF(AN6=3,"no",AS3))</f>
        <v>8</v>
      </c>
      <c r="AS3" s="458" t="str">
        <f>IF(AND(AN5=4,AN6=4),AL6,AT3)</f>
        <v>no</v>
      </c>
      <c r="AT3" s="47" t="str">
        <f>IF(AN6=5,30,AU3)</f>
        <v>no</v>
      </c>
      <c r="AU3" s="47" t="str">
        <f>IF(AN6=5,AL6,"no")</f>
        <v>no</v>
      </c>
      <c r="AY3" s="113"/>
      <c r="AZ3" s="431" t="s">
        <v>78</v>
      </c>
      <c r="BA3" s="431"/>
      <c r="BB3" s="431"/>
      <c r="BC3" s="431"/>
      <c r="BD3" s="843" t="s">
        <v>0</v>
      </c>
      <c r="BE3" s="843"/>
      <c r="BF3" s="843"/>
      <c r="BG3" s="843"/>
      <c r="BH3" s="423"/>
    </row>
    <row r="4" spans="1:60" ht="12.75" customHeight="1" thickTop="1" thickBot="1">
      <c r="A4" s="113"/>
      <c r="B4" s="113"/>
      <c r="C4" s="849" t="s">
        <v>50</v>
      </c>
      <c r="D4" s="850"/>
      <c r="E4" s="850"/>
      <c r="F4" s="850"/>
      <c r="G4" s="850"/>
      <c r="H4" s="850"/>
      <c r="I4" s="851"/>
      <c r="J4" s="113"/>
      <c r="K4" s="849" t="s">
        <v>51</v>
      </c>
      <c r="L4" s="850"/>
      <c r="M4" s="850"/>
      <c r="N4" s="850"/>
      <c r="O4" s="876"/>
      <c r="P4" s="876"/>
      <c r="Q4" s="877"/>
      <c r="R4" s="113"/>
      <c r="S4" s="878" t="s">
        <v>52</v>
      </c>
      <c r="T4" s="876"/>
      <c r="U4" s="850"/>
      <c r="V4" s="850"/>
      <c r="W4" s="850"/>
      <c r="X4" s="850"/>
      <c r="Y4" s="851"/>
      <c r="Z4" s="113"/>
      <c r="AA4" s="849" t="s">
        <v>16</v>
      </c>
      <c r="AB4" s="850"/>
      <c r="AC4" s="850"/>
      <c r="AD4" s="850"/>
      <c r="AE4" s="850"/>
      <c r="AF4" s="850"/>
      <c r="AG4" s="851"/>
      <c r="AH4" s="113"/>
      <c r="AJ4" s="47">
        <f>calendario!AB41</f>
        <v>8</v>
      </c>
      <c r="AK4" s="47">
        <f>calendario!AC41</f>
        <v>4</v>
      </c>
      <c r="AM4" s="47" t="s">
        <v>772</v>
      </c>
      <c r="AY4" s="113"/>
      <c r="AZ4" s="841" t="s">
        <v>92</v>
      </c>
      <c r="BA4" s="842"/>
      <c r="BB4" s="842"/>
      <c r="BC4" s="431"/>
      <c r="BD4" s="844">
        <f>G33</f>
        <v>45382</v>
      </c>
      <c r="BE4" s="813"/>
      <c r="BF4" s="813"/>
      <c r="BG4" s="813"/>
      <c r="BH4" s="423"/>
    </row>
    <row r="5" spans="1:60" ht="12.75" customHeight="1" thickTop="1">
      <c r="A5" s="113"/>
      <c r="B5" s="113"/>
      <c r="C5" s="462" t="s">
        <v>20</v>
      </c>
      <c r="D5" s="463" t="s">
        <v>17</v>
      </c>
      <c r="E5" s="463" t="s">
        <v>29</v>
      </c>
      <c r="F5" s="463" t="s">
        <v>24</v>
      </c>
      <c r="G5" s="463" t="s">
        <v>12</v>
      </c>
      <c r="H5" s="464" t="s">
        <v>7</v>
      </c>
      <c r="I5" s="465" t="s">
        <v>15</v>
      </c>
      <c r="J5" s="113"/>
      <c r="K5" s="462" t="s">
        <v>20</v>
      </c>
      <c r="L5" s="463" t="s">
        <v>17</v>
      </c>
      <c r="M5" s="463" t="s">
        <v>29</v>
      </c>
      <c r="N5" s="463" t="s">
        <v>24</v>
      </c>
      <c r="O5" s="463" t="s">
        <v>12</v>
      </c>
      <c r="P5" s="464" t="s">
        <v>7</v>
      </c>
      <c r="Q5" s="465" t="s">
        <v>15</v>
      </c>
      <c r="R5" s="113"/>
      <c r="S5" s="462" t="s">
        <v>20</v>
      </c>
      <c r="T5" s="463" t="s">
        <v>17</v>
      </c>
      <c r="U5" s="463" t="s">
        <v>29</v>
      </c>
      <c r="V5" s="463" t="s">
        <v>24</v>
      </c>
      <c r="W5" s="463" t="s">
        <v>12</v>
      </c>
      <c r="X5" s="464" t="s">
        <v>7</v>
      </c>
      <c r="Y5" s="465" t="s">
        <v>15</v>
      </c>
      <c r="Z5" s="113"/>
      <c r="AA5" s="462" t="s">
        <v>20</v>
      </c>
      <c r="AB5" s="463" t="s">
        <v>17</v>
      </c>
      <c r="AC5" s="463" t="s">
        <v>29</v>
      </c>
      <c r="AD5" s="463" t="s">
        <v>24</v>
      </c>
      <c r="AE5" s="463" t="s">
        <v>12</v>
      </c>
      <c r="AF5" s="464" t="s">
        <v>7</v>
      </c>
      <c r="AG5" s="465" t="s">
        <v>15</v>
      </c>
      <c r="AH5" s="113"/>
      <c r="AJ5" s="458" t="str">
        <f>IF(AK4=3,AJ4,"NO")</f>
        <v>NO</v>
      </c>
      <c r="AL5" s="458">
        <f>DAY(AM5)</f>
        <v>28</v>
      </c>
      <c r="AM5" s="459">
        <f>AM2-3</f>
        <v>45379</v>
      </c>
      <c r="AN5" s="466">
        <f>MONTH(AM5)</f>
        <v>3</v>
      </c>
      <c r="AO5" s="47">
        <f>IF(AN5=4,"no",AL5)</f>
        <v>28</v>
      </c>
      <c r="AP5" s="47" t="str">
        <f>IF(AN5=4,AL5,"no")</f>
        <v>no</v>
      </c>
      <c r="AY5" s="113"/>
      <c r="AZ5" s="842"/>
      <c r="BA5" s="842"/>
      <c r="BB5" s="842"/>
      <c r="BC5" s="431"/>
      <c r="BD5" s="813"/>
      <c r="BE5" s="813"/>
      <c r="BF5" s="813"/>
      <c r="BG5" s="813"/>
      <c r="BH5" s="423"/>
    </row>
    <row r="6" spans="1:60" ht="12.75" customHeight="1">
      <c r="A6" s="113"/>
      <c r="B6" s="113"/>
      <c r="C6" s="467">
        <f>calendario!D10</f>
        <v>1</v>
      </c>
      <c r="D6" s="468">
        <f>calendario!E10</f>
        <v>2</v>
      </c>
      <c r="E6" s="468">
        <f>calendario!F10</f>
        <v>3</v>
      </c>
      <c r="F6" s="468">
        <f>calendario!G10</f>
        <v>4</v>
      </c>
      <c r="G6" s="468">
        <f>calendario!H10</f>
        <v>5</v>
      </c>
      <c r="H6" s="469">
        <f>calendario!I10</f>
        <v>6</v>
      </c>
      <c r="I6" s="470">
        <f>calendario!J10</f>
        <v>7</v>
      </c>
      <c r="J6" s="113"/>
      <c r="K6" s="467" t="str">
        <f>calendario!D16</f>
        <v xml:space="preserve"> </v>
      </c>
      <c r="L6" s="468" t="str">
        <f>calendario!E16</f>
        <v xml:space="preserve"> </v>
      </c>
      <c r="M6" s="468" t="str">
        <f>calendario!F16</f>
        <v xml:space="preserve"> </v>
      </c>
      <c r="N6" s="468">
        <f>calendario!G16</f>
        <v>1</v>
      </c>
      <c r="O6" s="468">
        <f>calendario!H16</f>
        <v>2</v>
      </c>
      <c r="P6" s="468">
        <f>calendario!I16</f>
        <v>3</v>
      </c>
      <c r="Q6" s="470">
        <f>calendario!J16</f>
        <v>4</v>
      </c>
      <c r="R6" s="113"/>
      <c r="S6" s="467" t="str">
        <f>calendario!D22</f>
        <v xml:space="preserve"> </v>
      </c>
      <c r="T6" s="468" t="str">
        <f>calendario!E22</f>
        <v xml:space="preserve"> </v>
      </c>
      <c r="U6" s="468" t="str">
        <f>calendario!F22</f>
        <v xml:space="preserve"> </v>
      </c>
      <c r="V6" s="468" t="str">
        <f>calendario!G22</f>
        <v xml:space="preserve"> </v>
      </c>
      <c r="W6" s="468">
        <f>calendario!H22</f>
        <v>1</v>
      </c>
      <c r="X6" s="469">
        <f>calendario!I22</f>
        <v>2</v>
      </c>
      <c r="Y6" s="470">
        <f>calendario!J22</f>
        <v>3</v>
      </c>
      <c r="Z6" s="113"/>
      <c r="AA6" s="467">
        <f>calendario!D28</f>
        <v>1</v>
      </c>
      <c r="AB6" s="468">
        <f>calendario!E28</f>
        <v>2</v>
      </c>
      <c r="AC6" s="468">
        <f>calendario!F28</f>
        <v>3</v>
      </c>
      <c r="AD6" s="468">
        <f>calendario!G28</f>
        <v>4</v>
      </c>
      <c r="AE6" s="468">
        <f>calendario!H28</f>
        <v>5</v>
      </c>
      <c r="AF6" s="469">
        <f>calendario!I28</f>
        <v>6</v>
      </c>
      <c r="AG6" s="470">
        <f>calendario!J28</f>
        <v>7</v>
      </c>
      <c r="AH6" s="113"/>
      <c r="AJ6" s="458">
        <f>IF(AK4=4,AJ4,"NO")</f>
        <v>8</v>
      </c>
      <c r="AL6" s="458">
        <f>DAY(AM7)</f>
        <v>8</v>
      </c>
      <c r="AM6" s="47" t="s">
        <v>68</v>
      </c>
      <c r="AN6" s="47">
        <f>MONTH(AM7)</f>
        <v>4</v>
      </c>
      <c r="AY6" s="113"/>
      <c r="AZ6" s="845">
        <f>IF(K34="NO"," ",K34)</f>
        <v>4</v>
      </c>
      <c r="BA6" s="813"/>
      <c r="BB6" s="471" t="str">
        <f>IF(AZ6=" "," ",$K$35)</f>
        <v>may</v>
      </c>
      <c r="BC6" s="431"/>
      <c r="BD6" s="429"/>
      <c r="BE6" s="429"/>
      <c r="BF6" s="429"/>
      <c r="BG6" s="429"/>
      <c r="BH6" s="423"/>
    </row>
    <row r="7" spans="1:60" ht="12.75" customHeight="1">
      <c r="A7" s="113"/>
      <c r="B7" s="113"/>
      <c r="C7" s="467">
        <f>calendario!D11</f>
        <v>8</v>
      </c>
      <c r="D7" s="468">
        <f>calendario!E11</f>
        <v>9</v>
      </c>
      <c r="E7" s="468">
        <f>calendario!F11</f>
        <v>10</v>
      </c>
      <c r="F7" s="468">
        <f>calendario!G11</f>
        <v>11</v>
      </c>
      <c r="G7" s="468">
        <f>calendario!H11</f>
        <v>12</v>
      </c>
      <c r="H7" s="469">
        <f>calendario!I11</f>
        <v>13</v>
      </c>
      <c r="I7" s="470">
        <f>calendario!J11</f>
        <v>14</v>
      </c>
      <c r="J7" s="113"/>
      <c r="K7" s="467">
        <f>calendario!D17</f>
        <v>5</v>
      </c>
      <c r="L7" s="468">
        <f>calendario!E17</f>
        <v>6</v>
      </c>
      <c r="M7" s="468">
        <f>calendario!F17</f>
        <v>7</v>
      </c>
      <c r="N7" s="468">
        <f>calendario!G17</f>
        <v>8</v>
      </c>
      <c r="O7" s="468">
        <f>calendario!H17</f>
        <v>9</v>
      </c>
      <c r="P7" s="469">
        <f>calendario!I17</f>
        <v>10</v>
      </c>
      <c r="Q7" s="470">
        <f>calendario!J17</f>
        <v>11</v>
      </c>
      <c r="R7" s="113"/>
      <c r="S7" s="467">
        <f>calendario!D23</f>
        <v>4</v>
      </c>
      <c r="T7" s="468">
        <f>calendario!E23</f>
        <v>5</v>
      </c>
      <c r="U7" s="468">
        <f>calendario!F23</f>
        <v>6</v>
      </c>
      <c r="V7" s="468">
        <f>calendario!G23</f>
        <v>7</v>
      </c>
      <c r="W7" s="468">
        <f>calendario!H23</f>
        <v>8</v>
      </c>
      <c r="X7" s="469">
        <f>calendario!I23</f>
        <v>9</v>
      </c>
      <c r="Y7" s="470">
        <f>calendario!J23</f>
        <v>10</v>
      </c>
      <c r="Z7" s="113"/>
      <c r="AA7" s="467">
        <f>calendario!D29</f>
        <v>8</v>
      </c>
      <c r="AB7" s="468">
        <f>calendario!E29</f>
        <v>9</v>
      </c>
      <c r="AC7" s="468">
        <f>calendario!F29</f>
        <v>10</v>
      </c>
      <c r="AD7" s="468">
        <f>calendario!G29</f>
        <v>11</v>
      </c>
      <c r="AE7" s="468">
        <f>calendario!H29</f>
        <v>12</v>
      </c>
      <c r="AF7" s="469">
        <f>calendario!I29</f>
        <v>13</v>
      </c>
      <c r="AG7" s="470">
        <f>calendario!J29</f>
        <v>14</v>
      </c>
      <c r="AH7" s="113"/>
      <c r="AJ7" s="47" t="str">
        <f>IF(AK4=5,AJ4,"NO")</f>
        <v>NO</v>
      </c>
      <c r="AM7" s="459">
        <f>AM2+8</f>
        <v>45390</v>
      </c>
      <c r="AY7" s="113"/>
      <c r="AZ7" s="472"/>
      <c r="BA7" s="472"/>
      <c r="BB7" s="472"/>
      <c r="BC7" s="431"/>
      <c r="BD7" s="43" t="s">
        <v>94</v>
      </c>
      <c r="BE7" s="43"/>
      <c r="BF7" s="43"/>
      <c r="BG7" s="43"/>
      <c r="BH7" s="423"/>
    </row>
    <row r="8" spans="1:60" ht="12.75" customHeight="1">
      <c r="A8" s="113"/>
      <c r="B8" s="113"/>
      <c r="C8" s="467">
        <f>calendario!D12</f>
        <v>15</v>
      </c>
      <c r="D8" s="468">
        <f>calendario!E12</f>
        <v>16</v>
      </c>
      <c r="E8" s="468">
        <f>calendario!F12</f>
        <v>17</v>
      </c>
      <c r="F8" s="468">
        <f>calendario!G12</f>
        <v>18</v>
      </c>
      <c r="G8" s="468">
        <f>calendario!H12</f>
        <v>19</v>
      </c>
      <c r="H8" s="491">
        <f>calendario!I12</f>
        <v>20</v>
      </c>
      <c r="I8" s="689">
        <f>calendario!J12</f>
        <v>21</v>
      </c>
      <c r="J8" s="113"/>
      <c r="K8" s="467">
        <f>calendario!D18</f>
        <v>12</v>
      </c>
      <c r="L8" s="468">
        <f>calendario!E18</f>
        <v>13</v>
      </c>
      <c r="M8" s="468">
        <f>calendario!F18</f>
        <v>14</v>
      </c>
      <c r="N8" s="468">
        <f>calendario!G18</f>
        <v>15</v>
      </c>
      <c r="O8" s="468">
        <f>calendario!H18</f>
        <v>16</v>
      </c>
      <c r="P8" s="469">
        <f>calendario!I18</f>
        <v>17</v>
      </c>
      <c r="Q8" s="470">
        <f>calendario!J18</f>
        <v>18</v>
      </c>
      <c r="R8" s="113"/>
      <c r="S8" s="467">
        <f>calendario!D24</f>
        <v>11</v>
      </c>
      <c r="T8" s="468">
        <f>calendario!E24</f>
        <v>12</v>
      </c>
      <c r="U8" s="468">
        <f>calendario!F24</f>
        <v>13</v>
      </c>
      <c r="V8" s="468">
        <f>calendario!G24</f>
        <v>14</v>
      </c>
      <c r="W8" s="468">
        <f>calendario!H24</f>
        <v>15</v>
      </c>
      <c r="X8" s="469">
        <f>calendario!I24</f>
        <v>16</v>
      </c>
      <c r="Y8" s="470">
        <f>calendario!J24</f>
        <v>17</v>
      </c>
      <c r="Z8" s="113"/>
      <c r="AA8" s="467">
        <f>calendario!D30</f>
        <v>15</v>
      </c>
      <c r="AB8" s="468">
        <f>calendario!E30</f>
        <v>16</v>
      </c>
      <c r="AC8" s="468">
        <f>calendario!F30</f>
        <v>17</v>
      </c>
      <c r="AD8" s="468">
        <f>calendario!G30</f>
        <v>18</v>
      </c>
      <c r="AE8" s="468">
        <f>calendario!H30</f>
        <v>19</v>
      </c>
      <c r="AF8" s="469">
        <f>calendario!I30</f>
        <v>20</v>
      </c>
      <c r="AG8" s="470">
        <f>calendario!J30</f>
        <v>21</v>
      </c>
      <c r="AH8" s="113"/>
      <c r="AJ8" s="820">
        <f>calendario!$C$53</f>
        <v>45336</v>
      </c>
      <c r="AK8" s="820"/>
      <c r="AM8" s="47" t="s">
        <v>69</v>
      </c>
      <c r="AQ8" s="473">
        <f>calendario!$AE$4</f>
        <v>2024</v>
      </c>
      <c r="AR8" s="473">
        <f>AQ8+0</f>
        <v>2024</v>
      </c>
      <c r="AY8" s="113"/>
      <c r="AZ8" s="841" t="s">
        <v>91</v>
      </c>
      <c r="BA8" s="842"/>
      <c r="BB8" s="842"/>
      <c r="BC8" s="431"/>
      <c r="BD8" s="43"/>
      <c r="BE8" s="43"/>
      <c r="BF8" s="43"/>
      <c r="BG8" s="43"/>
      <c r="BH8" s="423"/>
    </row>
    <row r="9" spans="1:60" ht="12.75" customHeight="1">
      <c r="A9" s="113"/>
      <c r="B9" s="113"/>
      <c r="C9" s="467">
        <f>calendario!D13</f>
        <v>22</v>
      </c>
      <c r="D9" s="468">
        <f>calendario!E13</f>
        <v>23</v>
      </c>
      <c r="E9" s="468">
        <f>calendario!F13</f>
        <v>24</v>
      </c>
      <c r="F9" s="468">
        <f>calendario!G13</f>
        <v>25</v>
      </c>
      <c r="G9" s="468">
        <f>calendario!H13</f>
        <v>26</v>
      </c>
      <c r="H9" s="468">
        <f>calendario!I13</f>
        <v>27</v>
      </c>
      <c r="I9" s="470">
        <f>calendario!J13</f>
        <v>28</v>
      </c>
      <c r="J9" s="113"/>
      <c r="K9" s="467">
        <f>calendario!D19</f>
        <v>19</v>
      </c>
      <c r="L9" s="468">
        <f>calendario!E19</f>
        <v>20</v>
      </c>
      <c r="M9" s="468">
        <f>calendario!F19</f>
        <v>21</v>
      </c>
      <c r="N9" s="468">
        <f>calendario!G19</f>
        <v>22</v>
      </c>
      <c r="O9" s="468">
        <f>calendario!H19</f>
        <v>23</v>
      </c>
      <c r="P9" s="469">
        <f>calendario!I19</f>
        <v>24</v>
      </c>
      <c r="Q9" s="470">
        <f>calendario!J19</f>
        <v>25</v>
      </c>
      <c r="R9" s="113"/>
      <c r="S9" s="688">
        <f>calendario!D25</f>
        <v>18</v>
      </c>
      <c r="T9" s="468">
        <f>calendario!E25</f>
        <v>19</v>
      </c>
      <c r="U9" s="468">
        <f>calendario!F25</f>
        <v>20</v>
      </c>
      <c r="V9" s="474">
        <f>calendario!G25</f>
        <v>21</v>
      </c>
      <c r="W9" s="468">
        <f>calendario!H25</f>
        <v>22</v>
      </c>
      <c r="X9" s="469">
        <f>calendario!I25</f>
        <v>23</v>
      </c>
      <c r="Y9" s="470">
        <f>calendario!J25</f>
        <v>24</v>
      </c>
      <c r="Z9" s="113"/>
      <c r="AA9" s="467">
        <f>calendario!D31</f>
        <v>22</v>
      </c>
      <c r="AB9" s="468">
        <f>calendario!E31</f>
        <v>23</v>
      </c>
      <c r="AC9" s="468">
        <f>calendario!F31</f>
        <v>24</v>
      </c>
      <c r="AD9" s="468">
        <f>calendario!G31</f>
        <v>25</v>
      </c>
      <c r="AE9" s="468">
        <f>calendario!H31</f>
        <v>26</v>
      </c>
      <c r="AF9" s="469">
        <f>calendario!I31</f>
        <v>27</v>
      </c>
      <c r="AG9" s="470">
        <f>calendario!J31</f>
        <v>28</v>
      </c>
      <c r="AH9" s="113"/>
      <c r="AJ9" s="458">
        <f>DAY(AJ8)</f>
        <v>14</v>
      </c>
      <c r="AK9" s="458">
        <f>MONTH(AJ8)</f>
        <v>2</v>
      </c>
      <c r="AY9" s="113"/>
      <c r="AZ9" s="842"/>
      <c r="BA9" s="842"/>
      <c r="BB9" s="842"/>
      <c r="BC9" s="431"/>
      <c r="BD9" s="43" t="s">
        <v>93</v>
      </c>
      <c r="BE9" s="43"/>
      <c r="BF9" s="325">
        <f>AA35</f>
        <v>8</v>
      </c>
      <c r="BG9" s="43" t="str">
        <f>calendario!$AH$63</f>
        <v>ago</v>
      </c>
      <c r="BH9" s="423"/>
    </row>
    <row r="10" spans="1:60" ht="12.75" customHeight="1">
      <c r="A10" s="113"/>
      <c r="B10" s="113"/>
      <c r="C10" s="467">
        <f>calendario!D14</f>
        <v>29</v>
      </c>
      <c r="D10" s="468">
        <f>calendario!E14</f>
        <v>30</v>
      </c>
      <c r="E10" s="468">
        <f>calendario!F14</f>
        <v>31</v>
      </c>
      <c r="F10" s="468" t="str">
        <f>calendario!G14</f>
        <v xml:space="preserve"> </v>
      </c>
      <c r="G10" s="468" t="str">
        <f>calendario!H14</f>
        <v xml:space="preserve"> </v>
      </c>
      <c r="H10" s="468" t="str">
        <f>calendario!I14</f>
        <v xml:space="preserve"> </v>
      </c>
      <c r="I10" s="468" t="str">
        <f>calendario!J14</f>
        <v xml:space="preserve"> </v>
      </c>
      <c r="J10" s="113"/>
      <c r="K10" s="467">
        <f>calendario!D20</f>
        <v>26</v>
      </c>
      <c r="L10" s="468">
        <f>calendario!E20</f>
        <v>27</v>
      </c>
      <c r="M10" s="468">
        <f>calendario!F20</f>
        <v>28</v>
      </c>
      <c r="N10" s="468">
        <f>calendario!G20</f>
        <v>29</v>
      </c>
      <c r="O10" s="468" t="str">
        <f>calendario!H20</f>
        <v xml:space="preserve"> </v>
      </c>
      <c r="P10" s="469" t="str">
        <f>calendario!I20</f>
        <v xml:space="preserve"> </v>
      </c>
      <c r="Q10" s="470" t="str">
        <f>calendario!J20</f>
        <v xml:space="preserve"> </v>
      </c>
      <c r="R10" s="113"/>
      <c r="S10" s="467">
        <f>calendario!D26</f>
        <v>25</v>
      </c>
      <c r="T10" s="468">
        <f>calendario!E26</f>
        <v>26</v>
      </c>
      <c r="U10" s="468">
        <f>calendario!F26</f>
        <v>27</v>
      </c>
      <c r="V10" s="468">
        <f>calendario!G26</f>
        <v>28</v>
      </c>
      <c r="W10" s="468">
        <f>calendario!H26</f>
        <v>29</v>
      </c>
      <c r="X10" s="469">
        <f>calendario!I26</f>
        <v>30</v>
      </c>
      <c r="Y10" s="470">
        <f>calendario!J26</f>
        <v>31</v>
      </c>
      <c r="Z10" s="113"/>
      <c r="AA10" s="707">
        <f>calendario!D32</f>
        <v>29</v>
      </c>
      <c r="AB10" s="468">
        <f>calendario!E32</f>
        <v>30</v>
      </c>
      <c r="AC10" s="468" t="str">
        <f>calendario!F32</f>
        <v xml:space="preserve"> </v>
      </c>
      <c r="AD10" s="468" t="str">
        <f>calendario!G32</f>
        <v xml:space="preserve"> </v>
      </c>
      <c r="AE10" s="468" t="str">
        <f>calendario!H32</f>
        <v xml:space="preserve"> </v>
      </c>
      <c r="AF10" s="469" t="str">
        <f>calendario!I32</f>
        <v xml:space="preserve"> </v>
      </c>
      <c r="AG10" s="470" t="str">
        <f>calendario!J32</f>
        <v xml:space="preserve"> </v>
      </c>
      <c r="AH10" s="113"/>
      <c r="AJ10" s="458">
        <f>IF(AK9=2,AJ9,"NO")</f>
        <v>14</v>
      </c>
      <c r="AK10" s="458"/>
      <c r="AY10" s="113"/>
      <c r="AZ10" s="845">
        <f>IF(O34="NO"," ",O34)</f>
        <v>5</v>
      </c>
      <c r="BA10" s="846"/>
      <c r="BB10" s="430" t="str">
        <f>IF(AZ10=" "," ",O35)</f>
        <v>may</v>
      </c>
      <c r="BC10" s="431"/>
      <c r="BD10" s="43"/>
      <c r="BE10" s="43"/>
      <c r="BF10" s="43"/>
      <c r="BG10" s="43"/>
      <c r="BH10" s="423"/>
    </row>
    <row r="11" spans="1:60" ht="12.75" customHeight="1" thickBot="1">
      <c r="A11" s="113"/>
      <c r="B11" s="113"/>
      <c r="C11" s="475" t="str">
        <f>calendario!D15</f>
        <v xml:space="preserve"> </v>
      </c>
      <c r="D11" s="476" t="str">
        <f>calendario!E15</f>
        <v xml:space="preserve"> </v>
      </c>
      <c r="E11" s="476" t="str">
        <f>calendario!F15</f>
        <v xml:space="preserve"> </v>
      </c>
      <c r="F11" s="889" t="s">
        <v>792</v>
      </c>
      <c r="G11" s="889"/>
      <c r="H11" s="477">
        <f>luna!$A$69</f>
        <v>19</v>
      </c>
      <c r="I11" s="478" t="str">
        <f>calendario!J15</f>
        <v xml:space="preserve"> </v>
      </c>
      <c r="J11" s="113"/>
      <c r="K11" s="475" t="str">
        <f>calendario!D21</f>
        <v xml:space="preserve"> </v>
      </c>
      <c r="L11" s="476" t="str">
        <f>calendario!E21</f>
        <v xml:space="preserve"> </v>
      </c>
      <c r="M11" s="476" t="str">
        <f>calendario!F21</f>
        <v xml:space="preserve"> </v>
      </c>
      <c r="N11" s="476" t="str">
        <f>calendario!G21</f>
        <v xml:space="preserve"> </v>
      </c>
      <c r="O11" s="476" t="str">
        <f>calendario!H21</f>
        <v xml:space="preserve"> </v>
      </c>
      <c r="P11" s="479" t="str">
        <f>calendario!I21</f>
        <v xml:space="preserve"> </v>
      </c>
      <c r="Q11" s="478" t="str">
        <f>calendario!J21</f>
        <v xml:space="preserve"> </v>
      </c>
      <c r="R11" s="113"/>
      <c r="S11" s="475"/>
      <c r="T11" s="706" t="str">
        <f>calendario!E27</f>
        <v xml:space="preserve"> </v>
      </c>
      <c r="U11" s="853" t="str">
        <f>luna!$L$48</f>
        <v>LUNA LLENA PASCUAL</v>
      </c>
      <c r="V11" s="855"/>
      <c r="W11" s="855"/>
      <c r="X11" s="855"/>
      <c r="Y11" s="480">
        <f>luna!$O$48</f>
        <v>25</v>
      </c>
      <c r="Z11" s="113"/>
      <c r="AA11" s="475" t="str">
        <f>calendario!D33</f>
        <v xml:space="preserve"> </v>
      </c>
      <c r="AB11" s="476" t="str">
        <f>calendario!E33</f>
        <v xml:space="preserve"> </v>
      </c>
      <c r="AC11" s="853" t="str">
        <f>luna!$L$49</f>
        <v/>
      </c>
      <c r="AD11" s="854"/>
      <c r="AE11" s="854"/>
      <c r="AF11" s="854"/>
      <c r="AG11" s="480" t="str">
        <f>luna!$O$49</f>
        <v/>
      </c>
      <c r="AH11" s="113"/>
      <c r="AJ11" s="458" t="str">
        <f>IF(AK9=3,AJ9,"NO")</f>
        <v>NO</v>
      </c>
      <c r="AK11" s="458"/>
      <c r="AO11" s="852">
        <f>$C$35</f>
        <v>45355</v>
      </c>
      <c r="AP11" s="823"/>
      <c r="AY11" s="113"/>
      <c r="AZ11" s="430"/>
      <c r="BA11" s="430"/>
      <c r="BB11" s="430"/>
      <c r="BC11" s="431"/>
      <c r="BD11" s="43" t="s">
        <v>87</v>
      </c>
      <c r="BE11" s="43"/>
      <c r="BF11" s="325">
        <f>AE35</f>
        <v>18</v>
      </c>
      <c r="BG11" s="43" t="str">
        <f>calendario!$AH$63</f>
        <v>ago</v>
      </c>
      <c r="BH11" s="423"/>
    </row>
    <row r="12" spans="1:60" ht="12.75" customHeight="1" thickTop="1" thickBot="1">
      <c r="A12" s="113"/>
      <c r="B12" s="113"/>
      <c r="C12" s="481" t="s">
        <v>338</v>
      </c>
      <c r="D12" s="433"/>
      <c r="E12" s="433"/>
      <c r="F12" s="433"/>
      <c r="G12" s="482">
        <f>IF(luna!$G$63&gt;0,luna!$G$63,"0")</f>
        <v>20</v>
      </c>
      <c r="H12" s="483" t="s">
        <v>345</v>
      </c>
      <c r="I12" s="484">
        <f>luna!$N$63</f>
        <v>26</v>
      </c>
      <c r="J12" s="113"/>
      <c r="K12" s="481" t="s">
        <v>336</v>
      </c>
      <c r="L12" s="433"/>
      <c r="M12" s="433"/>
      <c r="N12" s="433"/>
      <c r="O12" s="482">
        <f>IF(luna!$G$94&gt;0,luna!$G$94,"0")</f>
        <v>21</v>
      </c>
      <c r="P12" s="483" t="s">
        <v>345</v>
      </c>
      <c r="Q12" s="485">
        <f>luna!$N$64</f>
        <v>24</v>
      </c>
      <c r="R12" s="113"/>
      <c r="S12" s="481" t="s">
        <v>342</v>
      </c>
      <c r="T12" s="433"/>
      <c r="U12" s="433"/>
      <c r="V12" s="433"/>
      <c r="W12" s="482">
        <f>IF(luna!$G$123&gt;0,luna!$G$123,"0")</f>
        <v>20</v>
      </c>
      <c r="X12" s="483" t="s">
        <v>345</v>
      </c>
      <c r="Y12" s="485">
        <f>luna!$O$65</f>
        <v>25</v>
      </c>
      <c r="Z12" s="96"/>
      <c r="AA12" s="847" t="s">
        <v>330</v>
      </c>
      <c r="AB12" s="848"/>
      <c r="AC12" s="848"/>
      <c r="AD12" s="848"/>
      <c r="AE12" s="486">
        <f>IF(luna!$G$154&gt;0,luna!$G154,"0")</f>
        <v>21</v>
      </c>
      <c r="AF12" s="483" t="s">
        <v>345</v>
      </c>
      <c r="AG12" s="487">
        <f>luna!$O$66</f>
        <v>24</v>
      </c>
      <c r="AH12" s="113"/>
      <c r="AJ12" s="47" t="s">
        <v>374</v>
      </c>
      <c r="AM12" s="47">
        <f>calendario!AA25</f>
        <v>20</v>
      </c>
      <c r="AO12" s="47">
        <f>MONTH(AO11)</f>
        <v>3</v>
      </c>
      <c r="AP12" s="458" t="str">
        <f>IF(AO12=2,AO13,"no")</f>
        <v>no</v>
      </c>
      <c r="AY12" s="113"/>
      <c r="AZ12" s="113"/>
      <c r="BA12" s="113"/>
      <c r="BB12" s="113"/>
      <c r="BC12" s="113"/>
      <c r="BD12" s="113"/>
      <c r="BE12" s="113"/>
      <c r="BF12" s="113"/>
      <c r="BG12" s="113"/>
      <c r="BH12" s="423"/>
    </row>
    <row r="13" spans="1:60" ht="12.75" customHeight="1" thickTop="1" thickBot="1">
      <c r="A13" s="113"/>
      <c r="B13" s="113"/>
      <c r="C13" s="849" t="s">
        <v>53</v>
      </c>
      <c r="D13" s="850"/>
      <c r="E13" s="850"/>
      <c r="F13" s="850"/>
      <c r="G13" s="850"/>
      <c r="H13" s="850"/>
      <c r="I13" s="851"/>
      <c r="J13" s="113"/>
      <c r="K13" s="849" t="s">
        <v>54</v>
      </c>
      <c r="L13" s="850"/>
      <c r="M13" s="850"/>
      <c r="N13" s="850"/>
      <c r="O13" s="850"/>
      <c r="P13" s="850"/>
      <c r="Q13" s="851"/>
      <c r="R13" s="113"/>
      <c r="S13" s="849" t="s">
        <v>55</v>
      </c>
      <c r="T13" s="850"/>
      <c r="U13" s="850"/>
      <c r="V13" s="850"/>
      <c r="W13" s="850"/>
      <c r="X13" s="850"/>
      <c r="Y13" s="851"/>
      <c r="Z13" s="113"/>
      <c r="AA13" s="849" t="s">
        <v>56</v>
      </c>
      <c r="AB13" s="850"/>
      <c r="AC13" s="850"/>
      <c r="AD13" s="850"/>
      <c r="AE13" s="850"/>
      <c r="AF13" s="850"/>
      <c r="AG13" s="851"/>
      <c r="AH13" s="113"/>
      <c r="AM13" s="47">
        <f>calendario!AA26</f>
        <v>21</v>
      </c>
      <c r="AO13" s="47">
        <f>DAY(AO11)</f>
        <v>4</v>
      </c>
      <c r="AP13" s="458">
        <f>IF(AO12=3,AO13,"no")</f>
        <v>4</v>
      </c>
      <c r="AY13" s="113"/>
      <c r="AZ13" s="824" t="str">
        <f>IF(AR8&gt;1232,VLOOKUP(AR8,AG54:AH143,2)," ")</f>
        <v>Inauguració de la variant a la CV-128 de Catí (29-09-2008)</v>
      </c>
      <c r="BA13" s="825"/>
      <c r="BB13" s="825"/>
      <c r="BC13" s="825"/>
      <c r="BD13" s="825"/>
      <c r="BE13" s="825"/>
      <c r="BF13" s="826"/>
      <c r="BG13" s="113"/>
      <c r="BH13" s="423"/>
    </row>
    <row r="14" spans="1:60" ht="12.75" customHeight="1" thickTop="1">
      <c r="A14" s="113"/>
      <c r="B14" s="113"/>
      <c r="C14" s="462" t="s">
        <v>20</v>
      </c>
      <c r="D14" s="463" t="s">
        <v>17</v>
      </c>
      <c r="E14" s="463" t="s">
        <v>29</v>
      </c>
      <c r="F14" s="463" t="s">
        <v>24</v>
      </c>
      <c r="G14" s="463" t="s">
        <v>12</v>
      </c>
      <c r="H14" s="464" t="s">
        <v>7</v>
      </c>
      <c r="I14" s="465" t="s">
        <v>15</v>
      </c>
      <c r="J14" s="113"/>
      <c r="K14" s="462" t="s">
        <v>20</v>
      </c>
      <c r="L14" s="463" t="s">
        <v>17</v>
      </c>
      <c r="M14" s="463" t="s">
        <v>29</v>
      </c>
      <c r="N14" s="463" t="s">
        <v>24</v>
      </c>
      <c r="O14" s="463" t="s">
        <v>12</v>
      </c>
      <c r="P14" s="464" t="s">
        <v>7</v>
      </c>
      <c r="Q14" s="465" t="s">
        <v>15</v>
      </c>
      <c r="R14" s="113"/>
      <c r="S14" s="462" t="s">
        <v>20</v>
      </c>
      <c r="T14" s="463" t="s">
        <v>17</v>
      </c>
      <c r="U14" s="463" t="s">
        <v>29</v>
      </c>
      <c r="V14" s="463" t="s">
        <v>24</v>
      </c>
      <c r="W14" s="463" t="s">
        <v>12</v>
      </c>
      <c r="X14" s="464" t="s">
        <v>7</v>
      </c>
      <c r="Y14" s="465" t="s">
        <v>15</v>
      </c>
      <c r="Z14" s="113"/>
      <c r="AA14" s="462" t="s">
        <v>20</v>
      </c>
      <c r="AB14" s="463" t="s">
        <v>17</v>
      </c>
      <c r="AC14" s="463" t="s">
        <v>29</v>
      </c>
      <c r="AD14" s="463" t="s">
        <v>24</v>
      </c>
      <c r="AE14" s="463" t="s">
        <v>12</v>
      </c>
      <c r="AF14" s="464" t="s">
        <v>7</v>
      </c>
      <c r="AG14" s="465" t="s">
        <v>15</v>
      </c>
      <c r="AH14" s="113"/>
      <c r="AJ14" s="852">
        <f>calendario!$H$59</f>
        <v>45431</v>
      </c>
      <c r="AK14" s="852"/>
      <c r="AL14" s="852"/>
      <c r="AM14" s="852"/>
      <c r="AY14" s="113"/>
      <c r="AZ14" s="827"/>
      <c r="BA14" s="828"/>
      <c r="BB14" s="828"/>
      <c r="BC14" s="828"/>
      <c r="BD14" s="828"/>
      <c r="BE14" s="828"/>
      <c r="BF14" s="829"/>
      <c r="BG14" s="113"/>
      <c r="BH14" s="423"/>
    </row>
    <row r="15" spans="1:60" ht="12.75" customHeight="1">
      <c r="A15" s="113"/>
      <c r="B15" s="113"/>
      <c r="C15" s="467" t="str">
        <f>calendario!D34</f>
        <v xml:space="preserve"> </v>
      </c>
      <c r="D15" s="468" t="str">
        <f>calendario!E34</f>
        <v xml:space="preserve"> </v>
      </c>
      <c r="E15" s="468">
        <f>calendario!F34</f>
        <v>1</v>
      </c>
      <c r="F15" s="468">
        <f>calendario!G34</f>
        <v>2</v>
      </c>
      <c r="G15" s="468">
        <f>calendario!H34</f>
        <v>3</v>
      </c>
      <c r="H15" s="469">
        <f>calendario!I34</f>
        <v>4</v>
      </c>
      <c r="I15" s="470">
        <f>calendario!J34</f>
        <v>5</v>
      </c>
      <c r="J15" s="113"/>
      <c r="K15" s="467" t="str">
        <f>calendario!D40</f>
        <v xml:space="preserve"> </v>
      </c>
      <c r="L15" s="468" t="str">
        <f>calendario!E40</f>
        <v xml:space="preserve"> </v>
      </c>
      <c r="M15" s="468" t="str">
        <f>calendario!F40</f>
        <v xml:space="preserve"> </v>
      </c>
      <c r="N15" s="468" t="str">
        <f>calendario!G40</f>
        <v xml:space="preserve"> </v>
      </c>
      <c r="O15" s="468" t="str">
        <f>calendario!H40</f>
        <v xml:space="preserve"> </v>
      </c>
      <c r="P15" s="468">
        <f>calendario!I40</f>
        <v>1</v>
      </c>
      <c r="Q15" s="470">
        <f>calendario!J40</f>
        <v>2</v>
      </c>
      <c r="R15" s="113"/>
      <c r="S15" s="467">
        <f>calendario!Q10</f>
        <v>1</v>
      </c>
      <c r="T15" s="468">
        <f>calendario!R10</f>
        <v>2</v>
      </c>
      <c r="U15" s="468">
        <f>calendario!S10</f>
        <v>3</v>
      </c>
      <c r="V15" s="468">
        <f>calendario!T10</f>
        <v>4</v>
      </c>
      <c r="W15" s="468">
        <f>calendario!U10</f>
        <v>5</v>
      </c>
      <c r="X15" s="469">
        <f>calendario!V10</f>
        <v>6</v>
      </c>
      <c r="Y15" s="470">
        <f>calendario!W10</f>
        <v>7</v>
      </c>
      <c r="Z15" s="113"/>
      <c r="AA15" s="467" t="str">
        <f>calendario!Q16</f>
        <v xml:space="preserve"> </v>
      </c>
      <c r="AB15" s="468" t="str">
        <f>calendario!R16</f>
        <v xml:space="preserve"> </v>
      </c>
      <c r="AC15" s="468" t="str">
        <f>calendario!S16</f>
        <v xml:space="preserve"> </v>
      </c>
      <c r="AD15" s="468">
        <f>calendario!T16</f>
        <v>1</v>
      </c>
      <c r="AE15" s="468">
        <f>calendario!U16</f>
        <v>2</v>
      </c>
      <c r="AF15" s="469">
        <f>calendario!V16</f>
        <v>3</v>
      </c>
      <c r="AG15" s="470">
        <f>calendario!W16</f>
        <v>4</v>
      </c>
      <c r="AH15" s="113"/>
      <c r="AJ15" s="458">
        <f>DAY(AJ14)</f>
        <v>19</v>
      </c>
      <c r="AK15" s="458">
        <f>MONTH(AJ14)</f>
        <v>5</v>
      </c>
      <c r="AY15" s="113"/>
      <c r="AZ15" s="830" t="s">
        <v>741</v>
      </c>
      <c r="BA15" s="825"/>
      <c r="BB15" s="825"/>
      <c r="BC15" s="825"/>
      <c r="BD15" s="825"/>
      <c r="BE15" s="825"/>
      <c r="BF15" s="826"/>
      <c r="BG15" s="113"/>
      <c r="BH15" s="423"/>
    </row>
    <row r="16" spans="1:60" ht="12.75" customHeight="1">
      <c r="A16" s="113"/>
      <c r="B16" s="113"/>
      <c r="C16" s="488">
        <f>calendario!D35</f>
        <v>6</v>
      </c>
      <c r="D16" s="468">
        <f>calendario!E35</f>
        <v>7</v>
      </c>
      <c r="E16" s="468">
        <f>calendario!F35</f>
        <v>8</v>
      </c>
      <c r="F16" s="468">
        <f>calendario!G35</f>
        <v>9</v>
      </c>
      <c r="G16" s="468">
        <f>calendario!H35</f>
        <v>10</v>
      </c>
      <c r="H16" s="469">
        <f>calendario!I35</f>
        <v>11</v>
      </c>
      <c r="I16" s="470">
        <f>calendario!J35</f>
        <v>12</v>
      </c>
      <c r="J16" s="113"/>
      <c r="K16" s="467">
        <f>calendario!D41</f>
        <v>3</v>
      </c>
      <c r="L16" s="468">
        <f>calendario!E41</f>
        <v>4</v>
      </c>
      <c r="M16" s="468">
        <f>calendario!F41</f>
        <v>5</v>
      </c>
      <c r="N16" s="468">
        <f>calendario!G41</f>
        <v>6</v>
      </c>
      <c r="O16" s="468">
        <f>calendario!H41</f>
        <v>7</v>
      </c>
      <c r="P16" s="723">
        <f>calendario!I41</f>
        <v>8</v>
      </c>
      <c r="Q16" s="470">
        <f>calendario!J41</f>
        <v>9</v>
      </c>
      <c r="R16" s="113"/>
      <c r="S16" s="467">
        <f>calendario!Q11</f>
        <v>8</v>
      </c>
      <c r="T16" s="468">
        <f>calendario!R11</f>
        <v>9</v>
      </c>
      <c r="U16" s="468">
        <f>calendario!S11</f>
        <v>10</v>
      </c>
      <c r="V16" s="468">
        <f>calendario!T11</f>
        <v>11</v>
      </c>
      <c r="W16" s="468">
        <f>calendario!U11</f>
        <v>12</v>
      </c>
      <c r="X16" s="469">
        <f>calendario!V11</f>
        <v>13</v>
      </c>
      <c r="Y16" s="470">
        <f>calendario!W11</f>
        <v>14</v>
      </c>
      <c r="Z16" s="113"/>
      <c r="AA16" s="467">
        <f>calendario!Q17</f>
        <v>5</v>
      </c>
      <c r="AB16" s="468">
        <f>calendario!R17</f>
        <v>6</v>
      </c>
      <c r="AC16" s="468">
        <f>calendario!S17</f>
        <v>7</v>
      </c>
      <c r="AD16" s="468">
        <f>calendario!T17</f>
        <v>8</v>
      </c>
      <c r="AE16" s="468">
        <f>calendario!U17</f>
        <v>9</v>
      </c>
      <c r="AF16" s="468">
        <f>calendario!V17</f>
        <v>10</v>
      </c>
      <c r="AG16" s="692">
        <f>calendario!W17</f>
        <v>11</v>
      </c>
      <c r="AH16" s="113"/>
      <c r="AJ16" s="458">
        <f>IF(AK15=5,AJ15,"NO")</f>
        <v>19</v>
      </c>
      <c r="AK16" s="458"/>
      <c r="AY16" s="113"/>
      <c r="AZ16" s="827"/>
      <c r="BA16" s="828"/>
      <c r="BB16" s="828"/>
      <c r="BC16" s="828"/>
      <c r="BD16" s="828"/>
      <c r="BE16" s="828"/>
      <c r="BF16" s="829"/>
      <c r="BG16" s="113"/>
      <c r="BH16" s="423"/>
    </row>
    <row r="17" spans="1:60" ht="12.75" customHeight="1">
      <c r="A17" s="113"/>
      <c r="B17" s="113"/>
      <c r="C17" s="467">
        <f>calendario!D36</f>
        <v>13</v>
      </c>
      <c r="D17" s="468">
        <f>calendario!E36</f>
        <v>14</v>
      </c>
      <c r="E17" s="468">
        <f>calendario!F36</f>
        <v>15</v>
      </c>
      <c r="F17" s="468">
        <f>calendario!G36</f>
        <v>16</v>
      </c>
      <c r="G17" s="468">
        <f>calendario!H36</f>
        <v>17</v>
      </c>
      <c r="H17" s="469">
        <f>calendario!I36</f>
        <v>18</v>
      </c>
      <c r="I17" s="470">
        <f>calendario!J36</f>
        <v>19</v>
      </c>
      <c r="J17" s="113"/>
      <c r="K17" s="467">
        <f>calendario!D42</f>
        <v>10</v>
      </c>
      <c r="L17" s="468">
        <f>calendario!E42</f>
        <v>11</v>
      </c>
      <c r="M17" s="468">
        <f>calendario!F42</f>
        <v>12</v>
      </c>
      <c r="N17" s="468">
        <f>calendario!G42</f>
        <v>13</v>
      </c>
      <c r="O17" s="468">
        <f>calendario!H42</f>
        <v>14</v>
      </c>
      <c r="P17" s="469">
        <f>calendario!I42</f>
        <v>15</v>
      </c>
      <c r="Q17" s="470">
        <f>calendario!J42</f>
        <v>16</v>
      </c>
      <c r="R17" s="113"/>
      <c r="S17" s="467">
        <f>calendario!Q12</f>
        <v>15</v>
      </c>
      <c r="T17" s="468">
        <f>calendario!R12</f>
        <v>16</v>
      </c>
      <c r="U17" s="468">
        <f>calendario!S12</f>
        <v>17</v>
      </c>
      <c r="V17" s="468">
        <f>calendario!T12</f>
        <v>18</v>
      </c>
      <c r="W17" s="468">
        <f>calendario!U12</f>
        <v>19</v>
      </c>
      <c r="X17" s="489">
        <f>calendario!V12</f>
        <v>20</v>
      </c>
      <c r="Y17" s="490">
        <f>calendario!W12</f>
        <v>21</v>
      </c>
      <c r="Z17" s="113"/>
      <c r="AA17" s="467">
        <f>calendario!Q18</f>
        <v>12</v>
      </c>
      <c r="AB17" s="468">
        <f>calendario!R18</f>
        <v>13</v>
      </c>
      <c r="AC17" s="468">
        <f>calendario!S18</f>
        <v>14</v>
      </c>
      <c r="AD17" s="468">
        <f>calendario!T18</f>
        <v>15</v>
      </c>
      <c r="AE17" s="468">
        <f>calendario!U18</f>
        <v>16</v>
      </c>
      <c r="AF17" s="469">
        <f>calendario!V18</f>
        <v>17</v>
      </c>
      <c r="AG17" s="470">
        <f>calendario!W18</f>
        <v>18</v>
      </c>
      <c r="AH17" s="113"/>
      <c r="AJ17" s="458" t="str">
        <f>IF(AK15=6,AJ15,"NO")</f>
        <v>NO</v>
      </c>
      <c r="AK17" s="458"/>
      <c r="AU17" s="432"/>
      <c r="AY17" s="113"/>
      <c r="AZ17" s="824" t="str">
        <f>IF(AR8&lt;1991,"ANTES DEL AÑO 1991 LA ASCENSIÓN Y EL CORPUS ERAN EN JUEVES"," ")</f>
        <v xml:space="preserve"> </v>
      </c>
      <c r="BA17" s="825"/>
      <c r="BB17" s="825"/>
      <c r="BC17" s="825"/>
      <c r="BD17" s="825"/>
      <c r="BE17" s="825"/>
      <c r="BF17" s="826"/>
      <c r="BG17" s="113"/>
      <c r="BH17" s="423"/>
    </row>
    <row r="18" spans="1:60" ht="12.75" customHeight="1">
      <c r="A18" s="113"/>
      <c r="B18" s="113"/>
      <c r="C18" s="467">
        <f>calendario!D37</f>
        <v>20</v>
      </c>
      <c r="D18" s="468">
        <f>calendario!E37</f>
        <v>21</v>
      </c>
      <c r="E18" s="468">
        <f>calendario!F37</f>
        <v>22</v>
      </c>
      <c r="F18" s="468">
        <f>calendario!G37</f>
        <v>23</v>
      </c>
      <c r="G18" s="468">
        <f>calendario!H37</f>
        <v>24</v>
      </c>
      <c r="H18" s="469">
        <f>calendario!I37</f>
        <v>25</v>
      </c>
      <c r="I18" s="470">
        <f>calendario!J37</f>
        <v>26</v>
      </c>
      <c r="J18" s="113"/>
      <c r="K18" s="467">
        <f>calendario!D43</f>
        <v>17</v>
      </c>
      <c r="L18" s="468">
        <f>calendario!E43</f>
        <v>18</v>
      </c>
      <c r="M18" s="468">
        <f>calendario!F43</f>
        <v>19</v>
      </c>
      <c r="N18" s="468">
        <f>calendario!G43</f>
        <v>20</v>
      </c>
      <c r="O18" s="468">
        <f>calendario!H43</f>
        <v>21</v>
      </c>
      <c r="P18" s="468">
        <f>calendario!I43</f>
        <v>22</v>
      </c>
      <c r="Q18" s="470">
        <f>calendario!J43</f>
        <v>23</v>
      </c>
      <c r="R18" s="113"/>
      <c r="S18" s="467">
        <f>calendario!Q13</f>
        <v>22</v>
      </c>
      <c r="T18" s="468">
        <f>calendario!R13</f>
        <v>23</v>
      </c>
      <c r="U18" s="468">
        <f>calendario!S13</f>
        <v>24</v>
      </c>
      <c r="V18" s="468">
        <f>calendario!T13</f>
        <v>25</v>
      </c>
      <c r="W18" s="468">
        <f>calendario!U13</f>
        <v>26</v>
      </c>
      <c r="X18" s="469">
        <f>calendario!V13</f>
        <v>27</v>
      </c>
      <c r="Y18" s="470">
        <f>calendario!W13</f>
        <v>28</v>
      </c>
      <c r="Z18" s="113"/>
      <c r="AA18" s="467">
        <f>calendario!Q19</f>
        <v>19</v>
      </c>
      <c r="AB18" s="468">
        <f>calendario!R19</f>
        <v>20</v>
      </c>
      <c r="AC18" s="468">
        <f>calendario!S19</f>
        <v>21</v>
      </c>
      <c r="AD18" s="468">
        <f>calendario!T19</f>
        <v>22</v>
      </c>
      <c r="AE18" s="468">
        <f>calendario!U19</f>
        <v>23</v>
      </c>
      <c r="AF18" s="469">
        <f>calendario!V19</f>
        <v>24</v>
      </c>
      <c r="AG18" s="470">
        <f>calendario!W19</f>
        <v>25</v>
      </c>
      <c r="AH18" s="113"/>
      <c r="AU18" s="432"/>
      <c r="AY18" s="113"/>
      <c r="AZ18" s="827"/>
      <c r="BA18" s="828"/>
      <c r="BB18" s="828"/>
      <c r="BC18" s="828"/>
      <c r="BD18" s="828"/>
      <c r="BE18" s="828"/>
      <c r="BF18" s="829"/>
      <c r="BG18" s="113"/>
      <c r="BH18" s="423"/>
    </row>
    <row r="19" spans="1:60" ht="12.75" customHeight="1">
      <c r="A19" s="113"/>
      <c r="B19" s="113"/>
      <c r="C19" s="467">
        <f>calendario!D38</f>
        <v>27</v>
      </c>
      <c r="D19" s="468">
        <f>calendario!E38</f>
        <v>28</v>
      </c>
      <c r="E19" s="468">
        <f>calendario!F38</f>
        <v>29</v>
      </c>
      <c r="F19" s="468">
        <f>calendario!G38</f>
        <v>30</v>
      </c>
      <c r="G19" s="468">
        <f>calendario!H38</f>
        <v>31</v>
      </c>
      <c r="H19" s="469" t="str">
        <f>calendario!I38</f>
        <v xml:space="preserve"> </v>
      </c>
      <c r="I19" s="470" t="str">
        <f>calendario!J38</f>
        <v xml:space="preserve"> </v>
      </c>
      <c r="J19" s="113"/>
      <c r="K19" s="467">
        <f>calendario!D44</f>
        <v>24</v>
      </c>
      <c r="L19" s="468">
        <f>calendario!E44</f>
        <v>25</v>
      </c>
      <c r="M19" s="468">
        <f>calendario!F44</f>
        <v>26</v>
      </c>
      <c r="N19" s="468">
        <f>calendario!G44</f>
        <v>27</v>
      </c>
      <c r="O19" s="468">
        <f>calendario!H44</f>
        <v>28</v>
      </c>
      <c r="P19" s="469">
        <f>calendario!I44</f>
        <v>29</v>
      </c>
      <c r="Q19" s="470">
        <f>calendario!J44</f>
        <v>30</v>
      </c>
      <c r="R19" s="113"/>
      <c r="S19" s="467">
        <f>calendario!Q14</f>
        <v>29</v>
      </c>
      <c r="T19" s="468">
        <f>calendario!R14</f>
        <v>30</v>
      </c>
      <c r="U19" s="468">
        <f>calendario!S14</f>
        <v>31</v>
      </c>
      <c r="V19" s="468" t="str">
        <f>calendario!T14</f>
        <v xml:space="preserve"> </v>
      </c>
      <c r="W19" s="468" t="str">
        <f>calendario!U14</f>
        <v xml:space="preserve"> </v>
      </c>
      <c r="X19" s="469" t="str">
        <f>calendario!V14</f>
        <v xml:space="preserve"> </v>
      </c>
      <c r="Y19" s="470" t="str">
        <f>calendario!W14</f>
        <v xml:space="preserve"> </v>
      </c>
      <c r="Z19" s="113"/>
      <c r="AA19" s="467">
        <f>calendario!Q20</f>
        <v>26</v>
      </c>
      <c r="AB19" s="468">
        <f>calendario!R20</f>
        <v>27</v>
      </c>
      <c r="AC19" s="468">
        <f>calendario!S20</f>
        <v>28</v>
      </c>
      <c r="AD19" s="468">
        <f>calendario!T20</f>
        <v>29</v>
      </c>
      <c r="AE19" s="468">
        <f>calendario!U20</f>
        <v>30</v>
      </c>
      <c r="AF19" s="469">
        <f>calendario!V20</f>
        <v>31</v>
      </c>
      <c r="AG19" s="470" t="str">
        <f>calendario!W20</f>
        <v xml:space="preserve"> </v>
      </c>
      <c r="AH19" s="113"/>
      <c r="AY19" s="113"/>
      <c r="AZ19" s="824" t="str">
        <f>IF(AR8&lt;1591,"LA FIESTA DEL CORPUS DATA DE 1591"," ")</f>
        <v xml:space="preserve"> </v>
      </c>
      <c r="BA19" s="825"/>
      <c r="BB19" s="825"/>
      <c r="BC19" s="825"/>
      <c r="BD19" s="825"/>
      <c r="BE19" s="825"/>
      <c r="BF19" s="826"/>
      <c r="BG19" s="113"/>
      <c r="BH19" s="423"/>
    </row>
    <row r="20" spans="1:60" ht="12.75" customHeight="1" thickBot="1">
      <c r="A20" s="113"/>
      <c r="B20" s="113"/>
      <c r="C20" s="475" t="str">
        <f>calendario!D39</f>
        <v xml:space="preserve"> </v>
      </c>
      <c r="D20" s="476" t="str">
        <f>calendario!E39</f>
        <v xml:space="preserve"> </v>
      </c>
      <c r="E20" s="476" t="str">
        <f>calendario!F39</f>
        <v xml:space="preserve"> </v>
      </c>
      <c r="F20" s="476" t="str">
        <f>calendario!G39</f>
        <v xml:space="preserve"> </v>
      </c>
      <c r="G20" s="476" t="str">
        <f>calendario!H39</f>
        <v xml:space="preserve"> </v>
      </c>
      <c r="H20" s="479" t="str">
        <f>calendario!I39</f>
        <v xml:space="preserve"> </v>
      </c>
      <c r="I20" s="478" t="str">
        <f>calendario!J39</f>
        <v xml:space="preserve"> </v>
      </c>
      <c r="J20" s="113"/>
      <c r="K20" s="475" t="str">
        <f>calendario!D45</f>
        <v xml:space="preserve"> </v>
      </c>
      <c r="L20" s="476" t="str">
        <f>calendario!E45</f>
        <v xml:space="preserve"> </v>
      </c>
      <c r="M20" s="476" t="str">
        <f>calendario!F45</f>
        <v xml:space="preserve"> </v>
      </c>
      <c r="N20" s="476" t="str">
        <f>calendario!G45</f>
        <v xml:space="preserve"> </v>
      </c>
      <c r="O20" s="476" t="str">
        <f>calendario!H45</f>
        <v xml:space="preserve"> </v>
      </c>
      <c r="P20" s="479" t="str">
        <f>calendario!I45</f>
        <v xml:space="preserve"> </v>
      </c>
      <c r="Q20" s="478" t="str">
        <f>calendario!J45</f>
        <v xml:space="preserve"> </v>
      </c>
      <c r="R20" s="113"/>
      <c r="S20" s="475" t="str">
        <f>calendario!Q15</f>
        <v xml:space="preserve"> </v>
      </c>
      <c r="T20" s="476" t="str">
        <f>calendario!R15</f>
        <v xml:space="preserve"> </v>
      </c>
      <c r="U20" s="476" t="str">
        <f>calendario!S15</f>
        <v xml:space="preserve"> </v>
      </c>
      <c r="V20" s="476" t="str">
        <f>calendario!T15</f>
        <v xml:space="preserve"> </v>
      </c>
      <c r="W20" s="476" t="str">
        <f>calendario!U15</f>
        <v xml:space="preserve"> </v>
      </c>
      <c r="X20" s="479" t="str">
        <f>calendario!V15</f>
        <v xml:space="preserve"> </v>
      </c>
      <c r="Y20" s="478" t="str">
        <f>calendario!W15</f>
        <v xml:space="preserve"> </v>
      </c>
      <c r="Z20" s="113"/>
      <c r="AA20" s="475" t="str">
        <f>calendario!Q21</f>
        <v xml:space="preserve"> </v>
      </c>
      <c r="AB20" s="476" t="str">
        <f>calendario!R21</f>
        <v xml:space="preserve"> </v>
      </c>
      <c r="AC20" s="476" t="str">
        <f>calendario!S21</f>
        <v xml:space="preserve"> </v>
      </c>
      <c r="AD20" s="476" t="str">
        <f>calendario!T21</f>
        <v xml:space="preserve"> </v>
      </c>
      <c r="AE20" s="476" t="str">
        <f>calendario!U21</f>
        <v xml:space="preserve"> </v>
      </c>
      <c r="AF20" s="479" t="str">
        <f>calendario!V21</f>
        <v xml:space="preserve"> </v>
      </c>
      <c r="AG20" s="478" t="str">
        <f>calendario!W21</f>
        <v xml:space="preserve"> </v>
      </c>
      <c r="AH20" s="113"/>
      <c r="AJ20" s="812" t="str">
        <f>calendario!AA48</f>
        <v>SANT PERE</v>
      </c>
      <c r="AK20" s="813"/>
      <c r="AL20" s="813"/>
      <c r="AM20" s="47">
        <f>calendario!AD48</f>
        <v>0</v>
      </c>
      <c r="AN20" s="47">
        <f>calendario!AE48</f>
        <v>0</v>
      </c>
      <c r="AO20" s="47">
        <f>calendario!AF48</f>
        <v>0</v>
      </c>
      <c r="AP20" s="47">
        <f>calendario!AG48</f>
        <v>0</v>
      </c>
      <c r="AQ20" s="47">
        <f>calendario!AH48</f>
        <v>6</v>
      </c>
      <c r="AR20" s="47">
        <f>calendario!AI48</f>
        <v>2</v>
      </c>
      <c r="AS20" s="47">
        <f>calendario!AJ48</f>
        <v>0</v>
      </c>
      <c r="AT20" s="47">
        <f>calendario!AK48</f>
        <v>0</v>
      </c>
      <c r="AY20" s="113"/>
      <c r="AZ20" s="827"/>
      <c r="BA20" s="828"/>
      <c r="BB20" s="828"/>
      <c r="BC20" s="828"/>
      <c r="BD20" s="828"/>
      <c r="BE20" s="828"/>
      <c r="BF20" s="829"/>
      <c r="BG20" s="113"/>
      <c r="BH20" s="423"/>
    </row>
    <row r="21" spans="1:60" ht="12.75" customHeight="1" thickTop="1" thickBot="1">
      <c r="A21" s="113"/>
      <c r="B21" s="113"/>
      <c r="C21" s="481" t="s">
        <v>331</v>
      </c>
      <c r="D21" s="433"/>
      <c r="E21" s="433"/>
      <c r="F21" s="433"/>
      <c r="G21" s="482">
        <f>IF(luna!$G$184&gt;0,luna!$G$184,"0")</f>
        <v>22</v>
      </c>
      <c r="H21" s="483" t="s">
        <v>345</v>
      </c>
      <c r="I21" s="485">
        <f>luna!$N$67</f>
        <v>24</v>
      </c>
      <c r="J21" s="113"/>
      <c r="K21" s="481" t="s">
        <v>337</v>
      </c>
      <c r="L21" s="433"/>
      <c r="M21" s="433"/>
      <c r="N21" s="433"/>
      <c r="O21" s="482">
        <f>IF(luna!$G$215&gt;0,luna!$G$215,"0")</f>
        <v>23</v>
      </c>
      <c r="P21" s="483" t="s">
        <v>345</v>
      </c>
      <c r="Q21" s="485">
        <f>luna!$N$68</f>
        <v>22</v>
      </c>
      <c r="R21" s="113"/>
      <c r="S21" s="481" t="s">
        <v>332</v>
      </c>
      <c r="T21" s="433"/>
      <c r="U21" s="433"/>
      <c r="V21" s="433"/>
      <c r="W21" s="482">
        <f>IF(luna!$G$245&gt;0,luna!$G$245,"0")</f>
        <v>24</v>
      </c>
      <c r="X21" s="483" t="s">
        <v>345</v>
      </c>
      <c r="Y21" s="485">
        <f>luna!$N$69</f>
        <v>22</v>
      </c>
      <c r="Z21" s="113"/>
      <c r="AA21" s="481" t="s">
        <v>333</v>
      </c>
      <c r="AB21" s="433"/>
      <c r="AC21" s="433"/>
      <c r="AD21" s="433"/>
      <c r="AE21" s="482">
        <f>IF(luna!$G$276&gt;0,luna!$G$276,"0")</f>
        <v>25</v>
      </c>
      <c r="AF21" s="483" t="s">
        <v>345</v>
      </c>
      <c r="AG21" s="485">
        <f>luna!$N$70</f>
        <v>20</v>
      </c>
      <c r="AH21" s="113"/>
      <c r="AJ21" s="814">
        <f>calendario!AA49</f>
        <v>45413</v>
      </c>
      <c r="AK21" s="813"/>
      <c r="AL21" s="47">
        <f>calendario!AC49</f>
        <v>3</v>
      </c>
      <c r="AM21" s="47">
        <f>calendario!AD49</f>
        <v>4</v>
      </c>
      <c r="AN21" s="47">
        <f>calendario!AE49</f>
        <v>0</v>
      </c>
      <c r="AO21" s="47">
        <f>calendario!AF49</f>
        <v>0</v>
      </c>
      <c r="AP21" s="47">
        <f>calendario!AG49</f>
        <v>0</v>
      </c>
      <c r="AQ21" s="47">
        <f>calendario!AH49</f>
        <v>5</v>
      </c>
      <c r="AR21" s="47">
        <f>calendario!AI49</f>
        <v>3</v>
      </c>
      <c r="AS21" s="47">
        <f>calendario!AJ49</f>
        <v>0</v>
      </c>
      <c r="AT21" s="47">
        <f>calendario!AK49</f>
        <v>0</v>
      </c>
      <c r="AY21" s="113"/>
      <c r="AZ21" s="824" t="str">
        <f>IF(AR8&lt;1322,"LA ROMERIA DE SANT PERE DATA A PARTIR DEL AÑO 1321"," ")</f>
        <v xml:space="preserve"> </v>
      </c>
      <c r="BA21" s="825"/>
      <c r="BB21" s="825"/>
      <c r="BC21" s="825"/>
      <c r="BD21" s="825"/>
      <c r="BE21" s="825"/>
      <c r="BF21" s="826"/>
      <c r="BG21" s="113"/>
      <c r="BH21" s="423"/>
    </row>
    <row r="22" spans="1:60" ht="12.75" customHeight="1" thickTop="1" thickBot="1">
      <c r="A22" s="113"/>
      <c r="B22" s="113"/>
      <c r="C22" s="849" t="s">
        <v>57</v>
      </c>
      <c r="D22" s="850"/>
      <c r="E22" s="850"/>
      <c r="F22" s="850"/>
      <c r="G22" s="850"/>
      <c r="H22" s="850"/>
      <c r="I22" s="851"/>
      <c r="J22" s="113"/>
      <c r="K22" s="849" t="s">
        <v>60</v>
      </c>
      <c r="L22" s="850"/>
      <c r="M22" s="850"/>
      <c r="N22" s="850"/>
      <c r="O22" s="850"/>
      <c r="P22" s="850"/>
      <c r="Q22" s="851"/>
      <c r="R22" s="113"/>
      <c r="S22" s="849" t="s">
        <v>58</v>
      </c>
      <c r="T22" s="850"/>
      <c r="U22" s="850"/>
      <c r="V22" s="850"/>
      <c r="W22" s="850"/>
      <c r="X22" s="850"/>
      <c r="Y22" s="851"/>
      <c r="Z22" s="113"/>
      <c r="AA22" s="849" t="s">
        <v>59</v>
      </c>
      <c r="AB22" s="850"/>
      <c r="AC22" s="850"/>
      <c r="AD22" s="850"/>
      <c r="AE22" s="850"/>
      <c r="AF22" s="850"/>
      <c r="AG22" s="851"/>
      <c r="AH22" s="113"/>
      <c r="AJ22" s="812" t="str">
        <f>calendario!AA50</f>
        <v>PRIMER DIA</v>
      </c>
      <c r="AK22" s="813"/>
      <c r="AL22" s="817">
        <f>calendario!AC50</f>
        <v>4</v>
      </c>
      <c r="AM22" s="818"/>
      <c r="AN22" s="47">
        <f>calendario!AE50</f>
        <v>4</v>
      </c>
      <c r="AO22" s="47">
        <f>calendario!AF50</f>
        <v>4</v>
      </c>
      <c r="AP22" s="47">
        <f>calendario!AG50</f>
        <v>0</v>
      </c>
      <c r="AQ22" s="47">
        <f>calendario!AH50</f>
        <v>4</v>
      </c>
      <c r="AR22" s="47">
        <f>calendario!AI50</f>
        <v>4</v>
      </c>
      <c r="AS22" s="47">
        <f>calendario!AJ50</f>
        <v>0</v>
      </c>
      <c r="AT22" s="47">
        <f>calendario!AK50</f>
        <v>0</v>
      </c>
      <c r="AY22" s="113"/>
      <c r="AZ22" s="827"/>
      <c r="BA22" s="828"/>
      <c r="BB22" s="828"/>
      <c r="BC22" s="828"/>
      <c r="BD22" s="828"/>
      <c r="BE22" s="828"/>
      <c r="BF22" s="829"/>
      <c r="BG22" s="113"/>
      <c r="BH22" s="423"/>
    </row>
    <row r="23" spans="1:60" ht="12.75" customHeight="1" thickTop="1">
      <c r="A23" s="113"/>
      <c r="B23" s="113"/>
      <c r="C23" s="462" t="s">
        <v>20</v>
      </c>
      <c r="D23" s="463" t="s">
        <v>17</v>
      </c>
      <c r="E23" s="463" t="s">
        <v>29</v>
      </c>
      <c r="F23" s="463" t="s">
        <v>24</v>
      </c>
      <c r="G23" s="463" t="s">
        <v>12</v>
      </c>
      <c r="H23" s="464" t="s">
        <v>7</v>
      </c>
      <c r="I23" s="465" t="s">
        <v>15</v>
      </c>
      <c r="J23" s="113"/>
      <c r="K23" s="462" t="s">
        <v>20</v>
      </c>
      <c r="L23" s="463" t="s">
        <v>17</v>
      </c>
      <c r="M23" s="463" t="s">
        <v>29</v>
      </c>
      <c r="N23" s="463" t="s">
        <v>24</v>
      </c>
      <c r="O23" s="463" t="s">
        <v>12</v>
      </c>
      <c r="P23" s="464" t="s">
        <v>7</v>
      </c>
      <c r="Q23" s="465" t="s">
        <v>15</v>
      </c>
      <c r="R23" s="113"/>
      <c r="S23" s="462" t="s">
        <v>20</v>
      </c>
      <c r="T23" s="463" t="s">
        <v>17</v>
      </c>
      <c r="U23" s="463" t="s">
        <v>29</v>
      </c>
      <c r="V23" s="463" t="s">
        <v>24</v>
      </c>
      <c r="W23" s="463" t="s">
        <v>12</v>
      </c>
      <c r="X23" s="464" t="s">
        <v>7</v>
      </c>
      <c r="Y23" s="465" t="s">
        <v>15</v>
      </c>
      <c r="Z23" s="113"/>
      <c r="AA23" s="462" t="s">
        <v>20</v>
      </c>
      <c r="AB23" s="463" t="s">
        <v>17</v>
      </c>
      <c r="AC23" s="463" t="s">
        <v>29</v>
      </c>
      <c r="AD23" s="463" t="s">
        <v>24</v>
      </c>
      <c r="AE23" s="463" t="s">
        <v>12</v>
      </c>
      <c r="AF23" s="464" t="s">
        <v>7</v>
      </c>
      <c r="AG23" s="465" t="s">
        <v>15</v>
      </c>
      <c r="AH23" s="113"/>
      <c r="AJ23" s="812" t="str">
        <f>calendario!AA51</f>
        <v>SEGON DIA</v>
      </c>
      <c r="AK23" s="813"/>
      <c r="AL23" s="817">
        <f>calendario!AC51</f>
        <v>5</v>
      </c>
      <c r="AM23" s="818"/>
      <c r="AN23" s="47">
        <f>calendario!AE51</f>
        <v>5</v>
      </c>
      <c r="AO23" s="47">
        <f>calendario!AF51</f>
        <v>0</v>
      </c>
      <c r="AP23" s="47">
        <f>calendario!AG51</f>
        <v>0</v>
      </c>
      <c r="AQ23" s="47">
        <f>calendario!AH51</f>
        <v>3</v>
      </c>
      <c r="AR23" s="47">
        <f>calendario!AI51</f>
        <v>5</v>
      </c>
      <c r="AS23" s="47">
        <f>calendario!AJ51</f>
        <v>5</v>
      </c>
      <c r="AT23" s="47">
        <f>calendario!AK51</f>
        <v>0</v>
      </c>
      <c r="AY23" s="113"/>
      <c r="AZ23" s="824" t="str">
        <f>IF(AR8&lt;1540,"LA APARICIÓN DE LA VIRGEN DATA ALREDEDOR DE 1540"," ")</f>
        <v xml:space="preserve"> </v>
      </c>
      <c r="BA23" s="825"/>
      <c r="BB23" s="825"/>
      <c r="BC23" s="825"/>
      <c r="BD23" s="825"/>
      <c r="BE23" s="825"/>
      <c r="BF23" s="826"/>
      <c r="BG23" s="113"/>
      <c r="BH23" s="423"/>
    </row>
    <row r="24" spans="1:60" ht="12.75" customHeight="1">
      <c r="A24" s="113"/>
      <c r="B24" s="113"/>
      <c r="C24" s="467" t="str">
        <f>calendario!Q22</f>
        <v xml:space="preserve"> </v>
      </c>
      <c r="D24" s="468" t="str">
        <f>calendario!R22</f>
        <v xml:space="preserve"> </v>
      </c>
      <c r="E24" s="468" t="str">
        <f>calendario!S22</f>
        <v xml:space="preserve"> </v>
      </c>
      <c r="F24" s="468" t="str">
        <f>calendario!T22</f>
        <v xml:space="preserve"> </v>
      </c>
      <c r="G24" s="468" t="str">
        <f>calendario!U22</f>
        <v xml:space="preserve"> </v>
      </c>
      <c r="H24" s="469" t="str">
        <f>calendario!V22</f>
        <v xml:space="preserve"> </v>
      </c>
      <c r="I24" s="470">
        <f>calendario!W22</f>
        <v>1</v>
      </c>
      <c r="J24" s="113"/>
      <c r="K24" s="467" t="str">
        <f>calendario!Q28</f>
        <v xml:space="preserve"> </v>
      </c>
      <c r="L24" s="468">
        <f>calendario!R28</f>
        <v>1</v>
      </c>
      <c r="M24" s="468">
        <f>calendario!S28</f>
        <v>2</v>
      </c>
      <c r="N24" s="468">
        <f>calendario!T28</f>
        <v>3</v>
      </c>
      <c r="O24" s="468">
        <f>calendario!U28</f>
        <v>4</v>
      </c>
      <c r="P24" s="469">
        <f>calendario!V28</f>
        <v>5</v>
      </c>
      <c r="Q24" s="470">
        <f>calendario!W28</f>
        <v>6</v>
      </c>
      <c r="R24" s="113"/>
      <c r="S24" s="467" t="str">
        <f>calendario!Q34</f>
        <v xml:space="preserve"> </v>
      </c>
      <c r="T24" s="468" t="str">
        <f>calendario!R34</f>
        <v xml:space="preserve"> </v>
      </c>
      <c r="U24" s="468" t="str">
        <f>calendario!S34</f>
        <v xml:space="preserve"> </v>
      </c>
      <c r="V24" s="468" t="str">
        <f>calendario!T34</f>
        <v xml:space="preserve"> </v>
      </c>
      <c r="W24" s="468">
        <f>calendario!U34</f>
        <v>1</v>
      </c>
      <c r="X24" s="469">
        <f>calendario!V34</f>
        <v>2</v>
      </c>
      <c r="Y24" s="470">
        <f>calendario!W34</f>
        <v>3</v>
      </c>
      <c r="Z24" s="113"/>
      <c r="AA24" s="467" t="str">
        <f>calendario!Q40</f>
        <v xml:space="preserve"> </v>
      </c>
      <c r="AB24" s="468" t="str">
        <f>calendario!R40</f>
        <v xml:space="preserve"> </v>
      </c>
      <c r="AC24" s="468" t="str">
        <f>calendario!S40</f>
        <v xml:space="preserve"> </v>
      </c>
      <c r="AD24" s="468" t="str">
        <f>calendario!T40</f>
        <v xml:space="preserve"> </v>
      </c>
      <c r="AE24" s="468" t="str">
        <f>calendario!U40</f>
        <v xml:space="preserve"> </v>
      </c>
      <c r="AF24" s="469" t="str">
        <f>calendario!V40</f>
        <v xml:space="preserve"> </v>
      </c>
      <c r="AG24" s="470">
        <f>calendario!W40</f>
        <v>1</v>
      </c>
      <c r="AH24" s="113"/>
      <c r="AJ24" s="47">
        <f>calendario!AA52</f>
        <v>0</v>
      </c>
      <c r="AK24" s="47">
        <f>calendario!AB52</f>
        <v>0</v>
      </c>
      <c r="AL24" s="47">
        <f>calendario!AC52</f>
        <v>0</v>
      </c>
      <c r="AM24" s="47">
        <f>calendario!AD52</f>
        <v>5</v>
      </c>
      <c r="AN24" s="47">
        <f>calendario!AE52</f>
        <v>0</v>
      </c>
      <c r="AO24" s="47">
        <f>calendario!AF52</f>
        <v>0</v>
      </c>
      <c r="AP24" s="47">
        <f>calendario!AG52</f>
        <v>0</v>
      </c>
      <c r="AQ24" s="47">
        <f>calendario!AH52</f>
        <v>2</v>
      </c>
      <c r="AR24" s="47">
        <f>calendario!AI52</f>
        <v>6</v>
      </c>
      <c r="AS24" s="47">
        <f>calendario!AJ52</f>
        <v>0</v>
      </c>
      <c r="AT24" s="47">
        <f>calendario!AK52</f>
        <v>0</v>
      </c>
      <c r="AY24" s="113"/>
      <c r="AZ24" s="827"/>
      <c r="BA24" s="828"/>
      <c r="BB24" s="828"/>
      <c r="BC24" s="828"/>
      <c r="BD24" s="828"/>
      <c r="BE24" s="828"/>
      <c r="BF24" s="829"/>
      <c r="BG24" s="113"/>
      <c r="BH24" s="423"/>
    </row>
    <row r="25" spans="1:60" ht="12.75" customHeight="1">
      <c r="A25" s="113"/>
      <c r="B25" s="113"/>
      <c r="C25" s="467">
        <f>calendario!Q23</f>
        <v>2</v>
      </c>
      <c r="D25" s="468">
        <f>calendario!R23</f>
        <v>3</v>
      </c>
      <c r="E25" s="468">
        <f>calendario!S23</f>
        <v>4</v>
      </c>
      <c r="F25" s="468">
        <f>calendario!T23</f>
        <v>5</v>
      </c>
      <c r="G25" s="489">
        <f>calendario!U23</f>
        <v>6</v>
      </c>
      <c r="H25" s="489">
        <f>calendario!V23</f>
        <v>7</v>
      </c>
      <c r="I25" s="689">
        <f>calendario!W23</f>
        <v>8</v>
      </c>
      <c r="J25" s="113"/>
      <c r="K25" s="467">
        <f>calendario!Q29</f>
        <v>7</v>
      </c>
      <c r="L25" s="468">
        <f>calendario!R29</f>
        <v>8</v>
      </c>
      <c r="M25" s="468">
        <f>calendario!S29</f>
        <v>9</v>
      </c>
      <c r="N25" s="468">
        <f>calendario!T29</f>
        <v>10</v>
      </c>
      <c r="O25" s="468">
        <f>calendario!U29</f>
        <v>11</v>
      </c>
      <c r="P25" s="469">
        <f>calendario!V29</f>
        <v>12</v>
      </c>
      <c r="Q25" s="470">
        <f>calendario!W29</f>
        <v>13</v>
      </c>
      <c r="R25" s="113"/>
      <c r="S25" s="467">
        <f>calendario!Q35</f>
        <v>4</v>
      </c>
      <c r="T25" s="468">
        <f>calendario!R35</f>
        <v>5</v>
      </c>
      <c r="U25" s="468">
        <f>calendario!S35</f>
        <v>6</v>
      </c>
      <c r="V25" s="468">
        <f>calendario!T35</f>
        <v>7</v>
      </c>
      <c r="W25" s="468">
        <f>calendario!U35</f>
        <v>8</v>
      </c>
      <c r="X25" s="469">
        <f>calendario!V35</f>
        <v>9</v>
      </c>
      <c r="Y25" s="470">
        <f>calendario!W35</f>
        <v>10</v>
      </c>
      <c r="Z25" s="113"/>
      <c r="AA25" s="467">
        <f>calendario!Q41</f>
        <v>2</v>
      </c>
      <c r="AB25" s="468">
        <f>calendario!R41</f>
        <v>3</v>
      </c>
      <c r="AC25" s="468">
        <f>calendario!S41</f>
        <v>4</v>
      </c>
      <c r="AD25" s="468">
        <f>calendario!T41</f>
        <v>5</v>
      </c>
      <c r="AE25" s="468">
        <f>calendario!U41</f>
        <v>6</v>
      </c>
      <c r="AF25" s="469">
        <f>calendario!V41</f>
        <v>7</v>
      </c>
      <c r="AG25" s="470">
        <f>calendario!W41</f>
        <v>8</v>
      </c>
      <c r="AH25" s="113"/>
      <c r="AJ25" s="47">
        <f>IF(O1&gt;1990,7,10)</f>
        <v>7</v>
      </c>
      <c r="AK25" s="47">
        <f>calendario!AB53</f>
        <v>0</v>
      </c>
      <c r="AL25" s="47">
        <f>calendario!AC53</f>
        <v>0</v>
      </c>
      <c r="AM25" s="47">
        <f>calendario!AD53</f>
        <v>0</v>
      </c>
      <c r="AN25" s="47">
        <f>calendario!AE53</f>
        <v>0</v>
      </c>
      <c r="AO25" s="47">
        <f>calendario!AF53</f>
        <v>0</v>
      </c>
      <c r="AP25" s="47">
        <f>calendario!AG53</f>
        <v>0</v>
      </c>
      <c r="AQ25" s="47">
        <f>calendario!AH53</f>
        <v>1</v>
      </c>
      <c r="AR25" s="47">
        <f>calendario!AI53</f>
        <v>7</v>
      </c>
      <c r="AS25" s="47">
        <f>calendario!AJ53</f>
        <v>0</v>
      </c>
      <c r="AT25" s="47">
        <f>calendario!AK53</f>
        <v>0</v>
      </c>
      <c r="AY25" s="113"/>
      <c r="AZ25" s="830" t="str">
        <f>IF($AR$8&lt;325,"LA FECHA DE LA PASCUA CRISTIANA DATA DEL AÑO 325"," ")</f>
        <v xml:space="preserve"> </v>
      </c>
      <c r="BA25" s="825"/>
      <c r="BB25" s="825"/>
      <c r="BC25" s="825"/>
      <c r="BD25" s="825"/>
      <c r="BE25" s="825"/>
      <c r="BF25" s="826"/>
      <c r="BG25" s="113"/>
      <c r="BH25" s="423"/>
    </row>
    <row r="26" spans="1:60" ht="12.75" customHeight="1">
      <c r="A26" s="113"/>
      <c r="B26" s="113"/>
      <c r="C26" s="725">
        <f>calendario!Q24</f>
        <v>9</v>
      </c>
      <c r="D26" s="468">
        <f>calendario!R24</f>
        <v>10</v>
      </c>
      <c r="E26" s="468">
        <f>calendario!S24</f>
        <v>11</v>
      </c>
      <c r="F26" s="468">
        <f>calendario!T24</f>
        <v>12</v>
      </c>
      <c r="G26" s="468">
        <f>calendario!U24</f>
        <v>13</v>
      </c>
      <c r="H26" s="469">
        <f>calendario!V24</f>
        <v>14</v>
      </c>
      <c r="I26" s="470">
        <f>calendario!W24</f>
        <v>15</v>
      </c>
      <c r="J26" s="113"/>
      <c r="K26" s="467">
        <f>calendario!Q30</f>
        <v>14</v>
      </c>
      <c r="L26" s="468">
        <f>calendario!R30</f>
        <v>15</v>
      </c>
      <c r="M26" s="468">
        <f>calendario!S30</f>
        <v>16</v>
      </c>
      <c r="N26" s="468">
        <f>calendario!T30</f>
        <v>17</v>
      </c>
      <c r="O26" s="468">
        <f>calendario!U30</f>
        <v>18</v>
      </c>
      <c r="P26" s="469">
        <f>calendario!V30</f>
        <v>19</v>
      </c>
      <c r="Q26" s="470">
        <f>calendario!W30</f>
        <v>20</v>
      </c>
      <c r="R26" s="113"/>
      <c r="S26" s="467">
        <f>calendario!Q36</f>
        <v>11</v>
      </c>
      <c r="T26" s="468">
        <f>calendario!R36</f>
        <v>12</v>
      </c>
      <c r="U26" s="468">
        <f>calendario!S36</f>
        <v>13</v>
      </c>
      <c r="V26" s="468">
        <f>calendario!T36</f>
        <v>14</v>
      </c>
      <c r="W26" s="468">
        <f>calendario!U36</f>
        <v>15</v>
      </c>
      <c r="X26" s="469">
        <f>calendario!V36</f>
        <v>16</v>
      </c>
      <c r="Y26" s="470">
        <f>calendario!W36</f>
        <v>17</v>
      </c>
      <c r="Z26" s="113"/>
      <c r="AA26" s="467">
        <f>calendario!Q42</f>
        <v>9</v>
      </c>
      <c r="AB26" s="468">
        <f>calendario!R42</f>
        <v>10</v>
      </c>
      <c r="AC26" s="468">
        <f>calendario!S42</f>
        <v>11</v>
      </c>
      <c r="AD26" s="468">
        <f>calendario!T42</f>
        <v>12</v>
      </c>
      <c r="AE26" s="468">
        <f>calendario!U42</f>
        <v>13</v>
      </c>
      <c r="AF26" s="469">
        <f>calendario!V42</f>
        <v>14</v>
      </c>
      <c r="AG26" s="470">
        <f>calendario!W42</f>
        <v>15</v>
      </c>
      <c r="AH26" s="113"/>
      <c r="AJ26" s="47">
        <f>calendario!AA60</f>
        <v>0</v>
      </c>
      <c r="AK26" s="47">
        <f>calendario!AB60</f>
        <v>0</v>
      </c>
      <c r="AL26" s="47">
        <f>calendario!AC60</f>
        <v>0</v>
      </c>
      <c r="AM26" s="47">
        <f>calendario!AD60</f>
        <v>0</v>
      </c>
      <c r="AN26" s="47">
        <f>calendario!AE60</f>
        <v>0</v>
      </c>
      <c r="AO26" s="47">
        <f>calendario!AF60</f>
        <v>0</v>
      </c>
      <c r="AP26" s="47">
        <f>calendario!AG60</f>
        <v>1</v>
      </c>
      <c r="AQ26" s="47" t="str">
        <f>calendario!AH60</f>
        <v>ago</v>
      </c>
      <c r="AR26" s="47">
        <f>calendario!AI60</f>
        <v>2024</v>
      </c>
      <c r="AS26" s="47">
        <f>calendario!AJ60</f>
        <v>0</v>
      </c>
      <c r="AT26" s="47">
        <f>calendario!AK60</f>
        <v>0</v>
      </c>
      <c r="AU26" s="47">
        <f>calendario!AL60</f>
        <v>1</v>
      </c>
      <c r="AV26" s="47">
        <f>calendario!AM60</f>
        <v>11</v>
      </c>
      <c r="AW26" s="47">
        <f>calendario!AN60</f>
        <v>0</v>
      </c>
      <c r="AY26" s="113"/>
      <c r="AZ26" s="827"/>
      <c r="BA26" s="828"/>
      <c r="BB26" s="828"/>
      <c r="BC26" s="828"/>
      <c r="BD26" s="828"/>
      <c r="BE26" s="828"/>
      <c r="BF26" s="829"/>
      <c r="BG26" s="113"/>
      <c r="BH26" s="423"/>
    </row>
    <row r="27" spans="1:60" ht="12.75" customHeight="1">
      <c r="A27" s="113"/>
      <c r="B27" s="113"/>
      <c r="C27" s="467">
        <f>calendario!Q25</f>
        <v>16</v>
      </c>
      <c r="D27" s="468">
        <f>calendario!R25</f>
        <v>17</v>
      </c>
      <c r="E27" s="468">
        <f>calendario!S25</f>
        <v>18</v>
      </c>
      <c r="F27" s="468">
        <f>calendario!T25</f>
        <v>19</v>
      </c>
      <c r="G27" s="468">
        <f>calendario!U25</f>
        <v>20</v>
      </c>
      <c r="H27" s="469">
        <f>calendario!V25</f>
        <v>21</v>
      </c>
      <c r="I27" s="470">
        <f>calendario!W25</f>
        <v>22</v>
      </c>
      <c r="J27" s="113"/>
      <c r="K27" s="467">
        <f>calendario!Q31</f>
        <v>21</v>
      </c>
      <c r="L27" s="468">
        <f>calendario!R31</f>
        <v>22</v>
      </c>
      <c r="M27" s="468">
        <f>calendario!S31</f>
        <v>23</v>
      </c>
      <c r="N27" s="468">
        <f>calendario!T31</f>
        <v>24</v>
      </c>
      <c r="O27" s="468">
        <f>calendario!U31</f>
        <v>25</v>
      </c>
      <c r="P27" s="469">
        <f>calendario!V31</f>
        <v>26</v>
      </c>
      <c r="Q27" s="470">
        <f>calendario!W31</f>
        <v>27</v>
      </c>
      <c r="R27" s="113"/>
      <c r="S27" s="467">
        <f>calendario!Q37</f>
        <v>18</v>
      </c>
      <c r="T27" s="468">
        <f>calendario!R37</f>
        <v>19</v>
      </c>
      <c r="U27" s="468">
        <f>calendario!S37</f>
        <v>20</v>
      </c>
      <c r="V27" s="468">
        <f>calendario!T37</f>
        <v>21</v>
      </c>
      <c r="W27" s="468">
        <f>calendario!U37</f>
        <v>22</v>
      </c>
      <c r="X27" s="469">
        <f>calendario!V37</f>
        <v>23</v>
      </c>
      <c r="Y27" s="470">
        <f>calendario!W37</f>
        <v>24</v>
      </c>
      <c r="Z27" s="113"/>
      <c r="AA27" s="467">
        <f>calendario!Q43</f>
        <v>16</v>
      </c>
      <c r="AB27" s="468">
        <f>calendario!R43</f>
        <v>17</v>
      </c>
      <c r="AC27" s="468">
        <f>calendario!S43</f>
        <v>18</v>
      </c>
      <c r="AD27" s="468">
        <f>calendario!T43</f>
        <v>19</v>
      </c>
      <c r="AE27" s="468">
        <f>calendario!U43</f>
        <v>20</v>
      </c>
      <c r="AF27" s="469">
        <f>calendario!V43</f>
        <v>21</v>
      </c>
      <c r="AG27" s="470">
        <f>calendario!W43</f>
        <v>22</v>
      </c>
      <c r="AH27" s="113"/>
      <c r="AJ27" s="812" t="str">
        <f>calendario!AA61</f>
        <v>SANT ROC</v>
      </c>
      <c r="AK27" s="813"/>
      <c r="AL27" s="47">
        <f>calendario!AC61</f>
        <v>0</v>
      </c>
      <c r="AM27" s="47">
        <f>calendario!AD61</f>
        <v>0</v>
      </c>
      <c r="AN27" s="47" t="str">
        <f>calendario!AE61</f>
        <v>FESTES AGOST</v>
      </c>
      <c r="AO27" s="47">
        <f>calendario!AF61</f>
        <v>0</v>
      </c>
      <c r="AP27" s="820">
        <f>calendario!AG61</f>
        <v>45505</v>
      </c>
      <c r="AQ27" s="821"/>
      <c r="AR27" s="47">
        <f>calendario!AI61</f>
        <v>4</v>
      </c>
      <c r="AS27" s="47">
        <f>calendario!AJ61</f>
        <v>0</v>
      </c>
      <c r="AT27" s="47">
        <f>calendario!AK61</f>
        <v>0</v>
      </c>
      <c r="AU27" s="47">
        <f>calendario!AL61</f>
        <v>2</v>
      </c>
      <c r="AV27" s="47">
        <f>calendario!AM61</f>
        <v>10</v>
      </c>
      <c r="AW27" s="47">
        <f>calendario!AN61</f>
        <v>0</v>
      </c>
      <c r="AY27" s="113"/>
      <c r="AZ27" s="824" t="str">
        <f>IF(AR8&lt;325,"ANTES DEL AÑO 325 LOS CÁLCULOS SON TEÓRICOS"," ")</f>
        <v xml:space="preserve"> </v>
      </c>
      <c r="BA27" s="831"/>
      <c r="BB27" s="831"/>
      <c r="BC27" s="831"/>
      <c r="BD27" s="831"/>
      <c r="BE27" s="831"/>
      <c r="BF27" s="832"/>
      <c r="BG27" s="113"/>
      <c r="BH27" s="423"/>
    </row>
    <row r="28" spans="1:60" ht="12.75" customHeight="1">
      <c r="A28" s="113"/>
      <c r="B28" s="113"/>
      <c r="C28" s="467">
        <f>calendario!Q26</f>
        <v>23</v>
      </c>
      <c r="D28" s="468">
        <f>calendario!R26</f>
        <v>24</v>
      </c>
      <c r="E28" s="468">
        <f>calendario!S26</f>
        <v>25</v>
      </c>
      <c r="F28" s="468">
        <f>calendario!T26</f>
        <v>26</v>
      </c>
      <c r="G28" s="468">
        <f>calendario!U26</f>
        <v>27</v>
      </c>
      <c r="H28" s="469">
        <f>calendario!V26</f>
        <v>28</v>
      </c>
      <c r="I28" s="470">
        <f>calendario!W26</f>
        <v>29</v>
      </c>
      <c r="J28" s="113"/>
      <c r="K28" s="467">
        <f>calendario!Q32</f>
        <v>28</v>
      </c>
      <c r="L28" s="468">
        <f>calendario!R32</f>
        <v>29</v>
      </c>
      <c r="M28" s="468">
        <f>calendario!S32</f>
        <v>30</v>
      </c>
      <c r="N28" s="468">
        <f>calendario!T32</f>
        <v>31</v>
      </c>
      <c r="O28" s="468" t="str">
        <f>calendario!U32</f>
        <v xml:space="preserve"> </v>
      </c>
      <c r="P28" s="469" t="str">
        <f>calendario!V32</f>
        <v xml:space="preserve"> </v>
      </c>
      <c r="Q28" s="470" t="str">
        <f>calendario!W32</f>
        <v xml:space="preserve"> </v>
      </c>
      <c r="R28" s="113"/>
      <c r="S28" s="467">
        <f>calendario!Q38</f>
        <v>25</v>
      </c>
      <c r="T28" s="468">
        <f>calendario!R38</f>
        <v>26</v>
      </c>
      <c r="U28" s="468">
        <f>calendario!S38</f>
        <v>27</v>
      </c>
      <c r="V28" s="468">
        <f>calendario!T38</f>
        <v>28</v>
      </c>
      <c r="W28" s="468">
        <f>calendario!U38</f>
        <v>29</v>
      </c>
      <c r="X28" s="469">
        <f>calendario!V38</f>
        <v>30</v>
      </c>
      <c r="Y28" s="470" t="str">
        <f>calendario!W38</f>
        <v xml:space="preserve"> </v>
      </c>
      <c r="Z28" s="113"/>
      <c r="AA28" s="492">
        <f>calendario!Q44</f>
        <v>23</v>
      </c>
      <c r="AB28" s="468">
        <f>calendario!R44</f>
        <v>24</v>
      </c>
      <c r="AC28" s="468">
        <f>calendario!S44</f>
        <v>25</v>
      </c>
      <c r="AD28" s="468">
        <f>calendario!T44</f>
        <v>26</v>
      </c>
      <c r="AE28" s="468">
        <f>calendario!U44</f>
        <v>27</v>
      </c>
      <c r="AF28" s="469">
        <f>calendario!V44</f>
        <v>28</v>
      </c>
      <c r="AG28" s="470">
        <f>calendario!W44</f>
        <v>29</v>
      </c>
      <c r="AH28" s="113"/>
      <c r="AJ28" s="820">
        <f>calendario!AA62</f>
        <v>38945</v>
      </c>
      <c r="AK28" s="821"/>
      <c r="AL28" s="47">
        <f>calendario!AC62</f>
        <v>2024</v>
      </c>
      <c r="AM28" s="47">
        <f>calendario!AD62</f>
        <v>0</v>
      </c>
      <c r="AN28" s="47">
        <f>calendario!AE62</f>
        <v>0</v>
      </c>
      <c r="AO28" s="47">
        <f>calendario!AF62</f>
        <v>0</v>
      </c>
      <c r="AP28" s="47">
        <f>calendario!AG62</f>
        <v>0</v>
      </c>
      <c r="AQ28" s="47">
        <f>calendario!AH62</f>
        <v>0</v>
      </c>
      <c r="AR28" s="47">
        <f>calendario!AI62</f>
        <v>0</v>
      </c>
      <c r="AS28" s="812">
        <f>calendario!AJ62</f>
        <v>0</v>
      </c>
      <c r="AT28" s="813"/>
      <c r="AU28" s="47">
        <f>calendario!AL62</f>
        <v>3</v>
      </c>
      <c r="AV28" s="47">
        <f>calendario!AM62</f>
        <v>9</v>
      </c>
      <c r="AW28" s="47">
        <f>calendario!AN62</f>
        <v>0</v>
      </c>
      <c r="AY28" s="113"/>
      <c r="AZ28" s="833"/>
      <c r="BA28" s="834"/>
      <c r="BB28" s="834"/>
      <c r="BC28" s="834"/>
      <c r="BD28" s="834"/>
      <c r="BE28" s="834"/>
      <c r="BF28" s="835"/>
      <c r="BG28" s="113"/>
      <c r="BH28" s="423"/>
    </row>
    <row r="29" spans="1:60" ht="12.75" customHeight="1" thickBot="1">
      <c r="A29" s="113"/>
      <c r="B29" s="113"/>
      <c r="C29" s="475">
        <f>calendario!Q27</f>
        <v>30</v>
      </c>
      <c r="D29" s="476" t="str">
        <f>calendario!R27</f>
        <v xml:space="preserve"> </v>
      </c>
      <c r="E29" s="476" t="str">
        <f>calendario!S27</f>
        <v xml:space="preserve"> </v>
      </c>
      <c r="F29" s="476" t="str">
        <f>calendario!T27</f>
        <v xml:space="preserve"> </v>
      </c>
      <c r="G29" s="476" t="str">
        <f>calendario!U27</f>
        <v xml:space="preserve"> </v>
      </c>
      <c r="H29" s="479" t="str">
        <f>calendario!V27</f>
        <v xml:space="preserve"> </v>
      </c>
      <c r="I29" s="478" t="str">
        <f>calendario!W27</f>
        <v xml:space="preserve"> </v>
      </c>
      <c r="J29" s="113"/>
      <c r="K29" s="475" t="str">
        <f>calendario!Q33</f>
        <v xml:space="preserve"> </v>
      </c>
      <c r="L29" s="476" t="str">
        <f>calendario!R33</f>
        <v xml:space="preserve"> </v>
      </c>
      <c r="M29" s="476" t="str">
        <f>calendario!S33</f>
        <v xml:space="preserve"> </v>
      </c>
      <c r="N29" s="476" t="str">
        <f>calendario!T33</f>
        <v xml:space="preserve"> </v>
      </c>
      <c r="O29" s="476" t="str">
        <f>calendario!U33</f>
        <v xml:space="preserve"> </v>
      </c>
      <c r="P29" s="479" t="str">
        <f>calendario!V33</f>
        <v xml:space="preserve"> </v>
      </c>
      <c r="Q29" s="478" t="str">
        <f>calendario!W33</f>
        <v xml:space="preserve"> </v>
      </c>
      <c r="R29" s="113"/>
      <c r="S29" s="475" t="str">
        <f>calendario!Q39</f>
        <v xml:space="preserve"> </v>
      </c>
      <c r="T29" s="476" t="str">
        <f>calendario!R39</f>
        <v xml:space="preserve"> </v>
      </c>
      <c r="U29" s="476" t="str">
        <f>calendario!S39</f>
        <v xml:space="preserve"> </v>
      </c>
      <c r="V29" s="476" t="str">
        <f>calendario!T39</f>
        <v xml:space="preserve"> </v>
      </c>
      <c r="W29" s="476" t="str">
        <f>calendario!U39</f>
        <v xml:space="preserve"> </v>
      </c>
      <c r="X29" s="479" t="str">
        <f>calendario!V39</f>
        <v xml:space="preserve"> </v>
      </c>
      <c r="Y29" s="478" t="str">
        <f>calendario!W39</f>
        <v xml:space="preserve"> </v>
      </c>
      <c r="Z29" s="113"/>
      <c r="AA29" s="475">
        <f>calendario!Q45</f>
        <v>30</v>
      </c>
      <c r="AB29" s="476">
        <f>calendario!R45</f>
        <v>31</v>
      </c>
      <c r="AC29" s="476" t="str">
        <f>calendario!S45</f>
        <v xml:space="preserve"> </v>
      </c>
      <c r="AD29" s="476" t="str">
        <f>calendario!T45</f>
        <v xml:space="preserve"> </v>
      </c>
      <c r="AE29" s="476" t="str">
        <f>calendario!U45</f>
        <v xml:space="preserve"> </v>
      </c>
      <c r="AF29" s="479" t="str">
        <f>calendario!V45</f>
        <v xml:space="preserve"> </v>
      </c>
      <c r="AG29" s="478" t="str">
        <f>calendario!W45</f>
        <v xml:space="preserve"> </v>
      </c>
      <c r="AH29" s="113"/>
      <c r="AJ29" s="47">
        <f>calendario!AA63</f>
        <v>0</v>
      </c>
      <c r="AK29" s="47">
        <f>calendario!AB63</f>
        <v>0</v>
      </c>
      <c r="AL29" s="47">
        <f>calendario!AC63</f>
        <v>0</v>
      </c>
      <c r="AM29" s="812" t="str">
        <f>calendario!AD63</f>
        <v>COMENÇAMENT</v>
      </c>
      <c r="AN29" s="813"/>
      <c r="AO29" s="47">
        <f>calendario!AF63</f>
        <v>0</v>
      </c>
      <c r="AP29" s="47">
        <f>calendario!AG63</f>
        <v>8</v>
      </c>
      <c r="AQ29" s="47" t="str">
        <f>calendario!AH63</f>
        <v>ago</v>
      </c>
      <c r="AR29" s="47">
        <f>calendario!AI63</f>
        <v>2024</v>
      </c>
      <c r="AS29" s="814">
        <f>calendario!AJ63</f>
        <v>11</v>
      </c>
      <c r="AT29" s="813"/>
      <c r="AU29" s="47">
        <f>calendario!AL63</f>
        <v>4</v>
      </c>
      <c r="AV29" s="47">
        <f>calendario!AM63</f>
        <v>8</v>
      </c>
      <c r="AW29" s="47">
        <f>calendario!AN63</f>
        <v>8</v>
      </c>
      <c r="AY29" s="113"/>
      <c r="AZ29" s="113"/>
      <c r="BA29" s="113"/>
      <c r="BB29" s="113"/>
      <c r="BC29" s="113"/>
      <c r="BD29" s="113"/>
      <c r="BE29" s="113"/>
      <c r="BF29" s="113"/>
      <c r="BG29" s="113"/>
      <c r="BH29" s="423"/>
    </row>
    <row r="30" spans="1:60" ht="14.4" thickTop="1" thickBot="1">
      <c r="A30" s="113"/>
      <c r="B30" s="113"/>
      <c r="C30" s="481" t="s">
        <v>343</v>
      </c>
      <c r="D30" s="433"/>
      <c r="E30" s="433"/>
      <c r="F30" s="433"/>
      <c r="G30" s="482">
        <f>IF(luna!$G$307&gt;0,luna!$G$307,"0")</f>
        <v>27</v>
      </c>
      <c r="H30" s="483" t="s">
        <v>345</v>
      </c>
      <c r="I30" s="485">
        <f>luna!$N$71</f>
        <v>19</v>
      </c>
      <c r="J30" s="113"/>
      <c r="K30" s="493" t="s">
        <v>334</v>
      </c>
      <c r="L30" s="494"/>
      <c r="M30" s="494"/>
      <c r="N30" s="494"/>
      <c r="O30" s="482">
        <f>IF(luna!$G$337&gt;0,luna!$G$337,"0")</f>
        <v>27</v>
      </c>
      <c r="P30" s="483" t="s">
        <v>345</v>
      </c>
      <c r="Q30" s="485">
        <f>luna!$N$72</f>
        <v>18</v>
      </c>
      <c r="R30" s="113"/>
      <c r="S30" s="481" t="s">
        <v>339</v>
      </c>
      <c r="T30" s="433"/>
      <c r="U30" s="433"/>
      <c r="V30" s="433"/>
      <c r="W30" s="482">
        <f>IF(luna!$G$368&gt;0,luna!$G$368,"0")</f>
        <v>29</v>
      </c>
      <c r="X30" s="483" t="s">
        <v>345</v>
      </c>
      <c r="Y30" s="485">
        <f>luna!$N$73</f>
        <v>17</v>
      </c>
      <c r="Z30" s="113"/>
      <c r="AA30" s="481" t="s">
        <v>341</v>
      </c>
      <c r="AB30" s="433"/>
      <c r="AC30" s="433"/>
      <c r="AD30" s="433"/>
      <c r="AE30" s="482">
        <f>IF(luna!$G$398&gt;0,luna!$G$398,"0")</f>
        <v>29</v>
      </c>
      <c r="AF30" s="483" t="s">
        <v>345</v>
      </c>
      <c r="AG30" s="485">
        <f>luna!$N$74</f>
        <v>16</v>
      </c>
      <c r="AH30" s="113"/>
      <c r="AI30" s="458">
        <f>calendario!V62</f>
        <v>12</v>
      </c>
      <c r="AJ30" s="812" t="s">
        <v>731</v>
      </c>
      <c r="AK30" s="813"/>
      <c r="AL30" s="47">
        <f>calendario!AC64</f>
        <v>0</v>
      </c>
      <c r="AM30" s="812" t="s">
        <v>737</v>
      </c>
      <c r="AN30" s="813"/>
      <c r="AO30" s="47">
        <f>calendario!AF64</f>
        <v>0</v>
      </c>
      <c r="AP30" s="814" t="str">
        <f>calendario!AG64</f>
        <v>8ago2024</v>
      </c>
      <c r="AQ30" s="819"/>
      <c r="AR30" s="47">
        <f>calendario!AI64</f>
        <v>0</v>
      </c>
      <c r="AS30" s="812" t="str">
        <f>calendario!AJ64</f>
        <v>11ago2024</v>
      </c>
      <c r="AT30" s="813"/>
      <c r="AU30" s="47">
        <f>calendario!AL64</f>
        <v>5</v>
      </c>
      <c r="AV30" s="47">
        <f>calendario!AM64</f>
        <v>7</v>
      </c>
      <c r="AW30" s="47">
        <f>calendario!AN64</f>
        <v>0</v>
      </c>
      <c r="AY30" s="113"/>
      <c r="AZ30" s="836" t="s">
        <v>340</v>
      </c>
      <c r="BA30" s="837"/>
      <c r="BB30" s="837"/>
      <c r="BC30" s="837"/>
      <c r="BD30" s="837"/>
      <c r="BE30" s="837"/>
      <c r="BF30" s="837"/>
      <c r="BG30" s="838"/>
      <c r="BH30" s="423"/>
    </row>
    <row r="31" spans="1:60" ht="14.4" thickTop="1" thickBot="1">
      <c r="A31" s="113"/>
      <c r="B31" s="113"/>
      <c r="C31" s="113"/>
      <c r="D31" s="113"/>
      <c r="E31" s="113"/>
      <c r="F31" s="113"/>
      <c r="G31" s="113"/>
      <c r="H31" s="113"/>
      <c r="I31" s="113"/>
      <c r="J31" s="113"/>
      <c r="K31" s="110">
        <f>IF(AND($Q$28=" ",$O1-1996&gt;-1),$Q$27,IF($O$1-1996&gt;-1,$Q$28," "))</f>
        <v>27</v>
      </c>
      <c r="L31" s="434" t="str">
        <f>IF($K31&lt;&gt;" ","OCT- CAMBIO HORA (- 1 H)"," ")</f>
        <v>OCT- CAMBIO HORA (- 1 H)</v>
      </c>
      <c r="M31" s="434"/>
      <c r="N31" s="434"/>
      <c r="O31" s="434"/>
      <c r="P31" s="434"/>
      <c r="Q31" s="495"/>
      <c r="R31" s="113"/>
      <c r="S31" s="111" t="str">
        <f>IF($O2+0=1582,"A PARTIR DEL 15 DE OCTUBRE- CALENDARIO GREGORIANO",$AA$3)</f>
        <v>CALENDARIO GREGORIANO</v>
      </c>
      <c r="T31" s="435"/>
      <c r="U31" s="435"/>
      <c r="V31" s="435"/>
      <c r="W31" s="435"/>
      <c r="X31" s="435"/>
      <c r="Y31" s="436"/>
      <c r="Z31" s="113"/>
      <c r="AA31" s="111" t="s">
        <v>335</v>
      </c>
      <c r="AB31" s="435"/>
      <c r="AC31" s="435"/>
      <c r="AD31" s="435"/>
      <c r="AE31" s="496">
        <f>IF(luna!$G$428&gt;0,luna!$G$428,"0")</f>
        <v>29</v>
      </c>
      <c r="AF31" s="435"/>
      <c r="AG31" s="497"/>
      <c r="AH31" s="113"/>
      <c r="AI31" s="458" t="str">
        <f>calendario!V63</f>
        <v>NO</v>
      </c>
      <c r="AJ31" s="822">
        <f>P33-7</f>
        <v>45424</v>
      </c>
      <c r="AK31" s="823"/>
      <c r="AL31" s="437">
        <f>calendario!AC65</f>
        <v>0</v>
      </c>
      <c r="AM31" s="458" t="str">
        <f>calendario!$W$59</f>
        <v>NO</v>
      </c>
      <c r="AN31" s="437">
        <f>calendario!AE65</f>
        <v>0</v>
      </c>
      <c r="AO31" s="437">
        <f>calendario!AF65</f>
        <v>0</v>
      </c>
      <c r="AP31" s="815">
        <f>calendario!AG65-1</f>
        <v>7</v>
      </c>
      <c r="AQ31" s="816"/>
      <c r="AR31" s="437">
        <f>calendario!AI65</f>
        <v>0</v>
      </c>
      <c r="AS31" s="815">
        <f>calendario!AJ65</f>
        <v>11</v>
      </c>
      <c r="AT31" s="816"/>
      <c r="AU31" s="437">
        <f>calendario!AL65</f>
        <v>6</v>
      </c>
      <c r="AV31" s="437">
        <f>calendario!AM65</f>
        <v>13</v>
      </c>
      <c r="AW31" s="437">
        <f>calendario!AN65</f>
        <v>0</v>
      </c>
      <c r="AX31" s="437"/>
      <c r="AY31" s="113"/>
      <c r="AZ31" s="858"/>
      <c r="BA31" s="859"/>
      <c r="BB31" s="862" t="s">
        <v>346</v>
      </c>
      <c r="BC31" s="837"/>
      <c r="BD31" s="837"/>
      <c r="BE31" s="837"/>
      <c r="BF31" s="837"/>
      <c r="BG31" s="838"/>
      <c r="BH31" s="423"/>
    </row>
    <row r="32" spans="1:60" ht="14.4" thickTop="1" thickBot="1">
      <c r="A32" s="113"/>
      <c r="B32" s="498">
        <f>DAY(C33)</f>
        <v>14</v>
      </c>
      <c r="C32" s="446" t="s">
        <v>980</v>
      </c>
      <c r="D32" s="446"/>
      <c r="E32" s="447"/>
      <c r="F32" s="499">
        <f>DAY(G33)</f>
        <v>31</v>
      </c>
      <c r="G32" s="446" t="s">
        <v>63</v>
      </c>
      <c r="H32" s="446"/>
      <c r="I32" s="446"/>
      <c r="J32" s="447"/>
      <c r="K32" s="500">
        <f>DAY(L33)</f>
        <v>8</v>
      </c>
      <c r="L32" s="438" t="s">
        <v>981</v>
      </c>
      <c r="M32" s="438"/>
      <c r="N32" s="438"/>
      <c r="O32" s="339">
        <v>22</v>
      </c>
      <c r="P32" s="501">
        <f>DAY(P33)</f>
        <v>19</v>
      </c>
      <c r="Q32" s="438" t="s">
        <v>410</v>
      </c>
      <c r="R32" s="446"/>
      <c r="S32" s="897">
        <f>calendario!$S$62</f>
        <v>45424</v>
      </c>
      <c r="T32" s="898"/>
      <c r="U32" s="502">
        <f>IF(S32="NO","NO",DAY(S32))</f>
        <v>12</v>
      </c>
      <c r="V32" s="503">
        <v>9</v>
      </c>
      <c r="W32" s="892" t="s">
        <v>75</v>
      </c>
      <c r="X32" s="893"/>
      <c r="Y32" s="504">
        <f>DAY(G33+1)</f>
        <v>1</v>
      </c>
      <c r="Z32" s="505">
        <v>15</v>
      </c>
      <c r="AA32" s="438" t="s">
        <v>983</v>
      </c>
      <c r="AB32" s="438"/>
      <c r="AC32" s="506"/>
      <c r="AD32" s="525">
        <v>9</v>
      </c>
      <c r="AE32" s="438" t="s">
        <v>71</v>
      </c>
      <c r="AF32" s="438"/>
      <c r="AG32" s="879">
        <f>AM12</f>
        <v>20</v>
      </c>
      <c r="AH32" s="880"/>
      <c r="AJ32" s="47">
        <f>calendario!AA66</f>
        <v>0</v>
      </c>
      <c r="AK32" s="47">
        <f>calendario!AB66</f>
        <v>0</v>
      </c>
      <c r="AL32" s="47">
        <f>calendario!AC66</f>
        <v>0</v>
      </c>
      <c r="AM32" s="47">
        <f>calendario!$W$60</f>
        <v>2</v>
      </c>
      <c r="AN32" s="47">
        <f>calendario!AE66</f>
        <v>0</v>
      </c>
      <c r="AO32" s="47">
        <f>calendario!AF66</f>
        <v>0</v>
      </c>
      <c r="AP32" s="47">
        <f>calendario!AG66</f>
        <v>0</v>
      </c>
      <c r="AQ32" s="47">
        <f>calendario!AH66</f>
        <v>0</v>
      </c>
      <c r="AR32" s="47">
        <f>calendario!AI66</f>
        <v>0</v>
      </c>
      <c r="AS32" s="47">
        <f>calendario!AJ66</f>
        <v>0</v>
      </c>
      <c r="AT32" s="47">
        <f>calendario!AK66</f>
        <v>0</v>
      </c>
      <c r="AU32" s="47">
        <f>calendario!AL66</f>
        <v>0</v>
      </c>
      <c r="AV32" s="47">
        <f>calendario!AM66</f>
        <v>12</v>
      </c>
      <c r="AW32" s="47">
        <f>calendario!AN66</f>
        <v>0</v>
      </c>
      <c r="AY32" s="113"/>
      <c r="AZ32" s="860"/>
      <c r="BA32" s="861"/>
      <c r="BB32" s="857"/>
      <c r="BC32" s="837"/>
      <c r="BD32" s="837"/>
      <c r="BE32" s="837"/>
      <c r="BF32" s="837"/>
      <c r="BG32" s="838"/>
      <c r="BH32" s="423"/>
    </row>
    <row r="33" spans="1:60" ht="13.8" thickBot="1">
      <c r="A33" s="113"/>
      <c r="B33" s="439"/>
      <c r="C33" s="869">
        <f>calendario!$C$53</f>
        <v>45336</v>
      </c>
      <c r="D33" s="869"/>
      <c r="E33" s="440"/>
      <c r="F33" s="439"/>
      <c r="G33" s="869">
        <f>calendario!$Q$56</f>
        <v>45382</v>
      </c>
      <c r="H33" s="869"/>
      <c r="I33" s="869"/>
      <c r="J33" s="440"/>
      <c r="K33" s="439"/>
      <c r="L33" s="869">
        <f>calendario!$C$59</f>
        <v>45390</v>
      </c>
      <c r="M33" s="869"/>
      <c r="N33" s="869"/>
      <c r="O33" s="440" t="s">
        <v>962</v>
      </c>
      <c r="P33" s="894">
        <f>calendario!$H$59</f>
        <v>45431</v>
      </c>
      <c r="Q33" s="866"/>
      <c r="R33" s="441"/>
      <c r="S33" s="441"/>
      <c r="T33" s="895" t="s">
        <v>732</v>
      </c>
      <c r="U33" s="896"/>
      <c r="V33" s="890" t="s">
        <v>989</v>
      </c>
      <c r="W33" s="866"/>
      <c r="X33" s="869">
        <f>G33+1</f>
        <v>45383</v>
      </c>
      <c r="Y33" s="891"/>
      <c r="Z33" s="439"/>
      <c r="AA33" s="442" t="s">
        <v>982</v>
      </c>
      <c r="AB33" s="442"/>
      <c r="AC33" s="440"/>
      <c r="AD33" s="439" t="s">
        <v>985</v>
      </c>
      <c r="AE33" s="442"/>
      <c r="AF33" s="442" t="s">
        <v>375</v>
      </c>
      <c r="AG33" s="442"/>
      <c r="AH33" s="440"/>
      <c r="AJ33" s="812" t="s">
        <v>733</v>
      </c>
      <c r="AK33" s="813"/>
      <c r="AL33" s="47">
        <f>calendario!AC67</f>
        <v>0</v>
      </c>
      <c r="AM33" s="812" t="str">
        <f>calendario!AD67</f>
        <v>FINAL</v>
      </c>
      <c r="AN33" s="813"/>
      <c r="AO33" s="47">
        <f>calendario!AF67</f>
        <v>0</v>
      </c>
      <c r="AP33" s="47">
        <f>calendario!AG67</f>
        <v>18</v>
      </c>
      <c r="AQ33" s="47" t="str">
        <f>calendario!AH67</f>
        <v>ago</v>
      </c>
      <c r="AR33" s="432">
        <f>O1</f>
        <v>2024</v>
      </c>
      <c r="AS33" s="47">
        <f>calendario!AJ67</f>
        <v>0</v>
      </c>
      <c r="AT33" s="812" t="s">
        <v>739</v>
      </c>
      <c r="AU33" s="813"/>
      <c r="AV33" s="47">
        <f>calendario!AM67</f>
        <v>0</v>
      </c>
      <c r="AW33" s="47">
        <f>calendario!$AN$68</f>
        <v>8</v>
      </c>
      <c r="AY33" s="113"/>
      <c r="AZ33" s="858"/>
      <c r="BA33" s="859"/>
      <c r="BB33" s="856" t="s">
        <v>347</v>
      </c>
      <c r="BC33" s="837"/>
      <c r="BD33" s="837"/>
      <c r="BE33" s="837"/>
      <c r="BF33" s="837"/>
      <c r="BG33" s="838"/>
      <c r="BH33" s="423"/>
    </row>
    <row r="34" spans="1:60" ht="13.8" thickBot="1">
      <c r="A34" s="113"/>
      <c r="B34" s="687">
        <f>DAY(C35)</f>
        <v>4</v>
      </c>
      <c r="C34" s="507" t="s">
        <v>72</v>
      </c>
      <c r="D34" s="443"/>
      <c r="E34" s="444"/>
      <c r="F34" s="508">
        <f>IF(G34="NO","NO",DAY(G34))</f>
        <v>2</v>
      </c>
      <c r="G34" s="867">
        <f>calendario!$R$59</f>
        <v>45445</v>
      </c>
      <c r="H34" s="868"/>
      <c r="I34" s="874">
        <f>AJ34</f>
        <v>45466</v>
      </c>
      <c r="J34" s="875"/>
      <c r="K34" s="509">
        <f>AL22</f>
        <v>4</v>
      </c>
      <c r="L34" s="445" t="s">
        <v>82</v>
      </c>
      <c r="M34" s="445"/>
      <c r="N34" s="445"/>
      <c r="O34" s="510">
        <f>calendario!$AC$51</f>
        <v>5</v>
      </c>
      <c r="P34" s="724">
        <v>8</v>
      </c>
      <c r="Q34" s="690"/>
      <c r="R34" s="446"/>
      <c r="S34" s="446" t="s">
        <v>984</v>
      </c>
      <c r="T34" s="446"/>
      <c r="U34" s="511">
        <v>26</v>
      </c>
      <c r="V34" s="512">
        <v>11</v>
      </c>
      <c r="W34" s="446" t="s">
        <v>76</v>
      </c>
      <c r="X34" s="446"/>
      <c r="Y34" s="447"/>
      <c r="Z34" s="513">
        <f>$BF$9</f>
        <v>8</v>
      </c>
      <c r="AA34" s="446" t="s">
        <v>83</v>
      </c>
      <c r="AB34" s="446"/>
      <c r="AC34" s="447"/>
      <c r="AD34" s="513">
        <f>$BF$11</f>
        <v>18</v>
      </c>
      <c r="AE34" s="446" t="s">
        <v>84</v>
      </c>
      <c r="AF34" s="446"/>
      <c r="AG34" s="446"/>
      <c r="AH34" s="447"/>
      <c r="AJ34" s="459">
        <f>G34+AJ25+14</f>
        <v>45466</v>
      </c>
      <c r="AK34" s="47">
        <f>calendario!AB68</f>
        <v>0</v>
      </c>
      <c r="AL34" s="47">
        <f>DAY(AJ34)</f>
        <v>23</v>
      </c>
      <c r="AM34" s="47">
        <f>calendario!AD68</f>
        <v>0</v>
      </c>
      <c r="AN34" s="47">
        <f>calendario!AE68</f>
        <v>0</v>
      </c>
      <c r="AO34" s="47">
        <f>calendario!AF68</f>
        <v>0</v>
      </c>
      <c r="AP34" s="812" t="str">
        <f>calendario!AG68</f>
        <v>18ago2024</v>
      </c>
      <c r="AQ34" s="813"/>
      <c r="AR34" s="47">
        <f>calendario!AI68</f>
        <v>0</v>
      </c>
      <c r="AS34" s="47">
        <f>calendario!AJ68</f>
        <v>0</v>
      </c>
      <c r="AT34" s="47">
        <f>calendario!AA67</f>
        <v>12</v>
      </c>
      <c r="AU34" s="47">
        <f>calendario!AL68</f>
        <v>0</v>
      </c>
      <c r="AV34" s="47">
        <f>calendario!AM68</f>
        <v>0</v>
      </c>
      <c r="AW34" s="47">
        <f>AW33</f>
        <v>8</v>
      </c>
      <c r="AY34" s="113"/>
      <c r="AZ34" s="860"/>
      <c r="BA34" s="861"/>
      <c r="BB34" s="857"/>
      <c r="BC34" s="837"/>
      <c r="BD34" s="837"/>
      <c r="BE34" s="837"/>
      <c r="BF34" s="837"/>
      <c r="BG34" s="838"/>
      <c r="BH34" s="423"/>
    </row>
    <row r="35" spans="1:60" ht="13.8" thickBot="1">
      <c r="A35" s="113"/>
      <c r="B35" s="439"/>
      <c r="C35" s="885">
        <f>calendario!$C$56</f>
        <v>45355</v>
      </c>
      <c r="D35" s="885"/>
      <c r="E35" s="886"/>
      <c r="F35" s="865" t="s">
        <v>73</v>
      </c>
      <c r="G35" s="866"/>
      <c r="H35" s="514" t="s">
        <v>734</v>
      </c>
      <c r="I35" s="514"/>
      <c r="J35" s="515"/>
      <c r="K35" s="516" t="str">
        <f>IF(AND(K34=30,K34&lt;&gt;" "),"abr",IF(K34&lt;&gt;" ","may"," "))</f>
        <v>may</v>
      </c>
      <c r="L35" s="509">
        <f>C16</f>
        <v>6</v>
      </c>
      <c r="M35" s="883" t="s">
        <v>964</v>
      </c>
      <c r="N35" s="884"/>
      <c r="O35" s="517" t="s">
        <v>81</v>
      </c>
      <c r="P35" s="439" t="s">
        <v>978</v>
      </c>
      <c r="Q35" s="518"/>
      <c r="R35" s="518"/>
      <c r="S35" s="518"/>
      <c r="T35" s="442" t="s">
        <v>746</v>
      </c>
      <c r="U35" s="440"/>
      <c r="V35" s="439"/>
      <c r="W35" s="869">
        <v>39763</v>
      </c>
      <c r="X35" s="870"/>
      <c r="Y35" s="871"/>
      <c r="Z35" s="439"/>
      <c r="AA35" s="872">
        <f>calendario!$AG$65</f>
        <v>8</v>
      </c>
      <c r="AB35" s="873"/>
      <c r="AC35" s="440" t="str">
        <f>calendario!$AH$63</f>
        <v>ago</v>
      </c>
      <c r="AD35" s="439"/>
      <c r="AE35" s="887">
        <f>calendario!$AG$69</f>
        <v>18</v>
      </c>
      <c r="AF35" s="887"/>
      <c r="AG35" s="442" t="str">
        <f>calendario!$AH$63</f>
        <v>ago</v>
      </c>
      <c r="AH35" s="440"/>
      <c r="AK35" s="47">
        <f>calendario!AB69</f>
        <v>0</v>
      </c>
      <c r="AL35" s="47">
        <f>calendario!AC69</f>
        <v>0</v>
      </c>
      <c r="AM35" s="47">
        <f>calendario!AD69</f>
        <v>0</v>
      </c>
      <c r="AN35" s="47">
        <f>calendario!AE69</f>
        <v>0</v>
      </c>
      <c r="AO35" s="47">
        <f>calendario!AF69</f>
        <v>0</v>
      </c>
      <c r="AP35" s="863">
        <f>AP33</f>
        <v>18</v>
      </c>
      <c r="AQ35" s="864"/>
      <c r="AR35" s="47">
        <f>calendario!AI69</f>
        <v>0</v>
      </c>
      <c r="AS35" s="47">
        <f>calendario!AJ69</f>
        <v>0</v>
      </c>
      <c r="AT35" s="47">
        <f>calendario!AA68</f>
        <v>13</v>
      </c>
      <c r="AU35" s="47">
        <f>calendario!AL69</f>
        <v>0</v>
      </c>
      <c r="AV35" s="47">
        <f>calendario!AM69</f>
        <v>0</v>
      </c>
      <c r="AW35" s="47">
        <f>calendario!AN69</f>
        <v>0</v>
      </c>
      <c r="AY35" s="113"/>
      <c r="AZ35" s="858"/>
      <c r="BA35" s="859"/>
      <c r="BB35" s="856" t="s">
        <v>348</v>
      </c>
      <c r="BC35" s="837"/>
      <c r="BD35" s="837"/>
      <c r="BE35" s="837"/>
      <c r="BF35" s="837"/>
      <c r="BG35" s="838"/>
      <c r="BH35" s="423"/>
    </row>
    <row r="36" spans="1:60" ht="13.8" thickBot="1">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860"/>
      <c r="BA36" s="861"/>
      <c r="BB36" s="857"/>
      <c r="BC36" s="837"/>
      <c r="BD36" s="837"/>
      <c r="BE36" s="837"/>
      <c r="BF36" s="837"/>
      <c r="BG36" s="838"/>
      <c r="BH36" s="423"/>
    </row>
    <row r="37" spans="1:60" ht="13.8" thickBot="1">
      <c r="A37" s="113"/>
      <c r="B37" s="113"/>
      <c r="C37" s="113"/>
      <c r="D37" s="113"/>
      <c r="E37" s="113"/>
      <c r="F37" s="113"/>
      <c r="G37" s="113"/>
      <c r="H37" s="113"/>
      <c r="I37" s="113"/>
      <c r="J37" s="113"/>
      <c r="K37" s="113"/>
      <c r="L37" s="113"/>
      <c r="M37" s="201" t="s">
        <v>1005</v>
      </c>
      <c r="N37" s="448"/>
      <c r="O37" s="448"/>
      <c r="P37" s="448"/>
      <c r="Q37" s="448"/>
      <c r="R37" s="448"/>
      <c r="S37" s="888" t="b">
        <f>ISERROR(I1)</f>
        <v>0</v>
      </c>
      <c r="T37" s="888"/>
      <c r="U37" s="888"/>
      <c r="V37" s="888"/>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858"/>
      <c r="BA37" s="859"/>
      <c r="BB37" s="856" t="s">
        <v>349</v>
      </c>
      <c r="BC37" s="837"/>
      <c r="BD37" s="837"/>
      <c r="BE37" s="837"/>
      <c r="BF37" s="837"/>
      <c r="BG37" s="838"/>
      <c r="BH37" s="423"/>
    </row>
    <row r="38" spans="1:60" ht="13.8" thickBo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860"/>
      <c r="BA38" s="861"/>
      <c r="BB38" s="857"/>
      <c r="BC38" s="837"/>
      <c r="BD38" s="837"/>
      <c r="BE38" s="837"/>
      <c r="BF38" s="837"/>
      <c r="BG38" s="838"/>
      <c r="BH38" s="423"/>
    </row>
    <row r="39" spans="1:60">
      <c r="A39" s="113"/>
      <c r="B39" s="113"/>
      <c r="C39" s="449"/>
      <c r="D39" s="449"/>
      <c r="E39" s="449"/>
      <c r="F39" s="450" t="s">
        <v>258</v>
      </c>
      <c r="G39" s="450"/>
      <c r="H39" s="450"/>
      <c r="I39" s="450"/>
      <c r="J39" s="450"/>
      <c r="K39" s="450"/>
      <c r="L39" s="450"/>
      <c r="M39" s="450"/>
      <c r="N39" s="450"/>
      <c r="O39" s="450"/>
      <c r="P39" s="450"/>
      <c r="Q39" s="450" t="s">
        <v>77</v>
      </c>
      <c r="R39" s="450"/>
      <c r="S39" s="450"/>
      <c r="T39" s="450"/>
      <c r="U39" s="450"/>
      <c r="V39" s="450"/>
      <c r="W39" s="450"/>
      <c r="X39" s="450"/>
      <c r="Y39" s="450"/>
      <c r="Z39" s="450"/>
      <c r="AA39" s="450"/>
      <c r="AB39" s="449"/>
      <c r="AC39" s="449"/>
      <c r="AD39" s="449"/>
      <c r="AE39" s="449"/>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423"/>
    </row>
    <row r="40" spans="1:60">
      <c r="A40" s="113"/>
      <c r="B40" s="113"/>
      <c r="C40" s="449"/>
      <c r="D40" s="91" t="s">
        <v>257</v>
      </c>
      <c r="E40" s="449"/>
      <c r="F40" s="449"/>
      <c r="G40" s="449"/>
      <c r="H40" s="449"/>
      <c r="I40" s="449"/>
      <c r="J40" s="449"/>
      <c r="K40" s="449"/>
      <c r="L40" s="449"/>
      <c r="M40" s="449"/>
      <c r="N40" s="449"/>
      <c r="O40" s="449"/>
      <c r="P40" s="449"/>
      <c r="Q40" s="449"/>
      <c r="R40" s="449"/>
      <c r="S40" s="449"/>
      <c r="T40" s="449"/>
      <c r="U40" s="449"/>
      <c r="V40" s="449"/>
      <c r="W40" s="449"/>
      <c r="X40" s="449"/>
      <c r="Y40" s="449"/>
      <c r="Z40" s="449"/>
      <c r="AA40" s="449"/>
      <c r="AB40" s="449"/>
      <c r="AC40" s="449"/>
      <c r="AD40" s="449"/>
      <c r="AE40" s="449"/>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423"/>
    </row>
    <row r="41" spans="1:60">
      <c r="A41" s="113"/>
      <c r="B41" s="113"/>
      <c r="C41" s="449"/>
      <c r="D41" s="398" t="s">
        <v>752</v>
      </c>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449"/>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423"/>
    </row>
    <row r="42" spans="1:60">
      <c r="A42" s="113"/>
      <c r="B42" s="113"/>
      <c r="C42" s="449"/>
      <c r="D42" s="519" t="s">
        <v>753</v>
      </c>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449"/>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423"/>
    </row>
    <row r="43" spans="1:60">
      <c r="A43" s="113"/>
      <c r="B43" s="113"/>
      <c r="C43" s="449"/>
      <c r="D43" s="398" t="s">
        <v>754</v>
      </c>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449"/>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423"/>
    </row>
    <row r="44" spans="1:60">
      <c r="A44" s="113"/>
      <c r="B44" s="113"/>
      <c r="C44" s="449"/>
      <c r="D44" s="398" t="s">
        <v>755</v>
      </c>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449"/>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423"/>
    </row>
    <row r="45" spans="1:60">
      <c r="A45" s="113"/>
      <c r="B45" s="113"/>
      <c r="C45" s="449"/>
      <c r="D45" s="398" t="s">
        <v>756</v>
      </c>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449"/>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423"/>
    </row>
    <row r="46" spans="1:60">
      <c r="A46" s="113"/>
      <c r="B46" s="113"/>
      <c r="C46" s="449"/>
      <c r="D46" s="398" t="s">
        <v>770</v>
      </c>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449"/>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423"/>
    </row>
    <row r="47" spans="1:60">
      <c r="A47" s="113"/>
      <c r="B47" s="113"/>
      <c r="C47" s="449"/>
      <c r="D47" s="398" t="s">
        <v>757</v>
      </c>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449"/>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423"/>
    </row>
    <row r="48" spans="1:60">
      <c r="A48" s="113"/>
      <c r="B48" s="113"/>
      <c r="C48" s="449"/>
      <c r="D48" s="398" t="s">
        <v>758</v>
      </c>
      <c r="E48" s="398"/>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449"/>
      <c r="AF48" s="113"/>
      <c r="BH48" s="423"/>
    </row>
    <row r="49" spans="1:60">
      <c r="A49" s="113"/>
      <c r="B49" s="113"/>
      <c r="C49" s="449"/>
      <c r="D49" s="398" t="s">
        <v>358</v>
      </c>
      <c r="E49" s="398"/>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449"/>
      <c r="AF49" s="113"/>
      <c r="BH49" s="423"/>
    </row>
    <row r="50" spans="1:60">
      <c r="A50" s="113"/>
      <c r="B50" s="113"/>
      <c r="C50" s="449"/>
      <c r="D50" s="398" t="s">
        <v>362</v>
      </c>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449"/>
      <c r="AF50" s="113"/>
      <c r="BH50" s="423"/>
    </row>
    <row r="51" spans="1:60">
      <c r="A51" s="113"/>
      <c r="B51" s="113"/>
      <c r="C51" s="449"/>
      <c r="D51" s="398" t="s">
        <v>361</v>
      </c>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449"/>
      <c r="AF51" s="113"/>
      <c r="BH51" s="423"/>
    </row>
    <row r="52" spans="1:60">
      <c r="A52" s="113"/>
      <c r="B52" s="113"/>
      <c r="C52" s="449"/>
      <c r="D52" s="398" t="s">
        <v>759</v>
      </c>
      <c r="E52" s="398"/>
      <c r="F52" s="398"/>
      <c r="G52" s="398"/>
      <c r="H52" s="398"/>
      <c r="I52" s="398"/>
      <c r="J52" s="398"/>
      <c r="K52" s="398"/>
      <c r="L52" s="398"/>
      <c r="M52" s="398"/>
      <c r="N52" s="398"/>
      <c r="O52" s="398"/>
      <c r="P52" s="398"/>
      <c r="Q52" s="398"/>
      <c r="R52" s="398"/>
      <c r="S52" s="398"/>
      <c r="T52" s="398"/>
      <c r="U52" s="398"/>
      <c r="V52" s="398"/>
      <c r="W52" s="398"/>
      <c r="X52" s="398"/>
      <c r="Y52" s="398"/>
      <c r="Z52" s="398"/>
      <c r="AA52" s="398"/>
      <c r="AB52" s="398"/>
      <c r="AC52" s="398"/>
      <c r="AD52" s="398"/>
      <c r="AE52" s="449"/>
      <c r="AF52" s="113"/>
      <c r="BH52" s="423"/>
    </row>
    <row r="53" spans="1:60">
      <c r="A53" s="113"/>
      <c r="B53" s="113"/>
      <c r="C53" s="449"/>
      <c r="D53" s="398" t="s">
        <v>760</v>
      </c>
      <c r="E53" s="398"/>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449"/>
      <c r="AF53" s="113"/>
      <c r="BH53" s="423"/>
    </row>
    <row r="54" spans="1:60">
      <c r="A54" s="113"/>
      <c r="B54" s="113"/>
      <c r="C54" s="449"/>
      <c r="D54" s="398" t="s">
        <v>761</v>
      </c>
      <c r="E54" s="398"/>
      <c r="F54" s="398"/>
      <c r="G54" s="398"/>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449"/>
      <c r="AF54" s="451"/>
      <c r="AG54" s="451">
        <v>1233</v>
      </c>
      <c r="AH54" s="451" t="s">
        <v>135</v>
      </c>
      <c r="AI54" s="451"/>
      <c r="AJ54" s="451"/>
      <c r="AK54" s="451"/>
      <c r="AL54" s="451"/>
      <c r="AM54" s="451"/>
      <c r="AN54" s="451"/>
      <c r="AO54" s="451"/>
      <c r="AP54" s="451"/>
      <c r="AQ54" s="451"/>
      <c r="AR54" s="451"/>
      <c r="AS54" s="451"/>
      <c r="AT54" s="451"/>
      <c r="AU54" s="451"/>
      <c r="AV54" s="451"/>
      <c r="AW54" s="451"/>
      <c r="AX54" s="451"/>
      <c r="AY54" s="451"/>
      <c r="AZ54" s="451"/>
      <c r="BA54" s="451"/>
      <c r="BB54" s="451"/>
      <c r="BC54" s="451"/>
      <c r="BD54" s="451"/>
      <c r="BE54" s="451"/>
      <c r="BF54" s="451"/>
      <c r="BG54" s="451"/>
      <c r="BH54" s="423"/>
    </row>
    <row r="55" spans="1:60">
      <c r="A55" s="113"/>
      <c r="B55" s="113"/>
      <c r="C55" s="449"/>
      <c r="D55" s="398" t="s">
        <v>360</v>
      </c>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449"/>
      <c r="AF55" s="451"/>
      <c r="AG55" s="451">
        <v>1239</v>
      </c>
      <c r="AH55" s="451" t="s">
        <v>131</v>
      </c>
      <c r="AI55" s="451"/>
      <c r="AJ55" s="451"/>
      <c r="AK55" s="451"/>
      <c r="AL55" s="451"/>
      <c r="AM55" s="451"/>
      <c r="AN55" s="451"/>
      <c r="AO55" s="451"/>
      <c r="AP55" s="451"/>
      <c r="AQ55" s="451"/>
      <c r="AR55" s="451"/>
      <c r="AS55" s="451"/>
      <c r="AT55" s="451"/>
      <c r="AU55" s="451"/>
      <c r="AV55" s="451"/>
      <c r="AW55" s="451"/>
      <c r="AX55" s="451"/>
      <c r="AY55" s="451"/>
      <c r="AZ55" s="451"/>
      <c r="BA55" s="451"/>
      <c r="BB55" s="451"/>
      <c r="BC55" s="451"/>
      <c r="BD55" s="451"/>
      <c r="BE55" s="451"/>
      <c r="BF55" s="451"/>
      <c r="BG55" s="451"/>
      <c r="BH55" s="423"/>
    </row>
    <row r="56" spans="1:60">
      <c r="A56" s="113"/>
      <c r="B56" s="113"/>
      <c r="C56" s="449"/>
      <c r="D56" s="452" t="s">
        <v>762</v>
      </c>
      <c r="E56" s="452"/>
      <c r="F56" s="398"/>
      <c r="G56" s="398"/>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449"/>
      <c r="AF56" s="451"/>
      <c r="AG56" s="451">
        <v>1241</v>
      </c>
      <c r="AH56" s="451" t="s">
        <v>136</v>
      </c>
      <c r="AI56" s="451"/>
      <c r="AJ56" s="451"/>
      <c r="AK56" s="451"/>
      <c r="AL56" s="451"/>
      <c r="AM56" s="451"/>
      <c r="AN56" s="451"/>
      <c r="AO56" s="451"/>
      <c r="AP56" s="451"/>
      <c r="AQ56" s="451"/>
      <c r="AR56" s="451"/>
      <c r="AS56" s="451"/>
      <c r="AT56" s="451"/>
      <c r="AU56" s="451"/>
      <c r="AV56" s="451"/>
      <c r="AW56" s="451"/>
      <c r="AX56" s="451"/>
      <c r="AY56" s="451"/>
      <c r="AZ56" s="451"/>
      <c r="BA56" s="451"/>
      <c r="BB56" s="451"/>
      <c r="BC56" s="451"/>
      <c r="BD56" s="451"/>
      <c r="BE56" s="451"/>
      <c r="BF56" s="451"/>
      <c r="BG56" s="451"/>
      <c r="BH56" s="423"/>
    </row>
    <row r="57" spans="1:60">
      <c r="A57" s="113"/>
      <c r="B57" s="113"/>
      <c r="C57" s="449"/>
      <c r="D57" s="398" t="s">
        <v>763</v>
      </c>
      <c r="E57" s="398"/>
      <c r="F57" s="398"/>
      <c r="G57" s="398"/>
      <c r="H57" s="398"/>
      <c r="I57" s="398"/>
      <c r="J57" s="398"/>
      <c r="K57" s="398"/>
      <c r="L57" s="398"/>
      <c r="M57" s="398"/>
      <c r="N57" s="398"/>
      <c r="O57" s="398"/>
      <c r="P57" s="398"/>
      <c r="Q57" s="398"/>
      <c r="R57" s="398"/>
      <c r="S57" s="398"/>
      <c r="T57" s="398"/>
      <c r="U57" s="398"/>
      <c r="V57" s="398"/>
      <c r="W57" s="398"/>
      <c r="X57" s="398"/>
      <c r="Y57" s="398"/>
      <c r="Z57" s="398"/>
      <c r="AA57" s="398"/>
      <c r="AB57" s="398"/>
      <c r="AC57" s="398"/>
      <c r="AD57" s="398"/>
      <c r="AE57" s="449"/>
      <c r="AF57" s="451"/>
      <c r="AG57" s="451">
        <v>1243</v>
      </c>
      <c r="AH57" s="451" t="s">
        <v>134</v>
      </c>
      <c r="AI57" s="451"/>
      <c r="AJ57" s="451"/>
      <c r="AK57" s="451"/>
      <c r="AL57" s="451"/>
      <c r="AM57" s="451"/>
      <c r="AN57" s="451"/>
      <c r="AO57" s="451"/>
      <c r="AP57" s="451"/>
      <c r="AQ57" s="451"/>
      <c r="AR57" s="451"/>
      <c r="AS57" s="451"/>
      <c r="AT57" s="451"/>
      <c r="AU57" s="451"/>
      <c r="AV57" s="451"/>
      <c r="AW57" s="451"/>
      <c r="AX57" s="451"/>
      <c r="AY57" s="451"/>
      <c r="AZ57" s="451"/>
      <c r="BA57" s="451"/>
      <c r="BB57" s="451"/>
      <c r="BC57" s="451"/>
      <c r="BD57" s="451"/>
      <c r="BE57" s="451"/>
      <c r="BF57" s="451"/>
      <c r="BG57" s="451"/>
      <c r="BH57" s="423"/>
    </row>
    <row r="58" spans="1:60">
      <c r="A58" s="113"/>
      <c r="B58" s="113"/>
      <c r="C58" s="449"/>
      <c r="D58" s="398" t="s">
        <v>764</v>
      </c>
      <c r="E58" s="398"/>
      <c r="F58" s="398"/>
      <c r="G58" s="398"/>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449"/>
      <c r="AF58" s="451"/>
      <c r="AG58" s="451">
        <v>1250</v>
      </c>
      <c r="AH58" s="451" t="s">
        <v>137</v>
      </c>
      <c r="AI58" s="451"/>
      <c r="AJ58" s="451"/>
      <c r="AK58" s="451"/>
      <c r="AL58" s="451"/>
      <c r="AM58" s="451"/>
      <c r="AN58" s="451"/>
      <c r="AO58" s="451"/>
      <c r="AP58" s="451"/>
      <c r="AQ58" s="451"/>
      <c r="AR58" s="451"/>
      <c r="AS58" s="451"/>
      <c r="AT58" s="451"/>
      <c r="AU58" s="451"/>
      <c r="AV58" s="451"/>
      <c r="AW58" s="451"/>
      <c r="AX58" s="451"/>
      <c r="AY58" s="451"/>
      <c r="AZ58" s="451"/>
      <c r="BA58" s="451"/>
      <c r="BB58" s="451"/>
      <c r="BC58" s="451"/>
      <c r="BD58" s="451"/>
      <c r="BE58" s="451"/>
      <c r="BF58" s="451"/>
      <c r="BG58" s="451"/>
      <c r="BH58" s="423"/>
    </row>
    <row r="59" spans="1:60">
      <c r="A59" s="113"/>
      <c r="B59" s="113"/>
      <c r="C59" s="449"/>
      <c r="D59" s="398" t="s">
        <v>765</v>
      </c>
      <c r="E59" s="398"/>
      <c r="F59" s="398"/>
      <c r="G59" s="398"/>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449"/>
      <c r="AF59" s="451"/>
      <c r="AG59" s="451">
        <v>1268</v>
      </c>
      <c r="AH59" s="451" t="s">
        <v>138</v>
      </c>
      <c r="AI59" s="451"/>
      <c r="AJ59" s="451"/>
      <c r="AK59" s="451"/>
      <c r="AL59" s="451"/>
      <c r="AM59" s="451"/>
      <c r="AN59" s="451"/>
      <c r="AO59" s="451"/>
      <c r="AP59" s="451"/>
      <c r="AQ59" s="451"/>
      <c r="AR59" s="451"/>
      <c r="AS59" s="451"/>
      <c r="AT59" s="451"/>
      <c r="AU59" s="451"/>
      <c r="AV59" s="451"/>
      <c r="AW59" s="451"/>
      <c r="AX59" s="451"/>
      <c r="AY59" s="451"/>
      <c r="AZ59" s="451"/>
      <c r="BA59" s="451"/>
      <c r="BB59" s="451"/>
      <c r="BC59" s="451"/>
      <c r="BD59" s="451"/>
      <c r="BE59" s="451"/>
      <c r="BF59" s="451"/>
      <c r="BG59" s="451"/>
      <c r="BH59" s="423"/>
    </row>
    <row r="60" spans="1:60">
      <c r="A60" s="113"/>
      <c r="B60" s="113"/>
      <c r="C60" s="449"/>
      <c r="D60" s="398" t="s">
        <v>766</v>
      </c>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449"/>
      <c r="AF60" s="451"/>
      <c r="AG60" s="451">
        <v>1270</v>
      </c>
      <c r="AH60" s="451" t="s">
        <v>139</v>
      </c>
      <c r="AI60" s="451"/>
      <c r="AJ60" s="451"/>
      <c r="AK60" s="451"/>
      <c r="AL60" s="451"/>
      <c r="AM60" s="451"/>
      <c r="AN60" s="451"/>
      <c r="AO60" s="451"/>
      <c r="AP60" s="451"/>
      <c r="AQ60" s="451"/>
      <c r="AR60" s="451"/>
      <c r="AS60" s="451"/>
      <c r="AT60" s="451"/>
      <c r="AU60" s="451"/>
      <c r="AV60" s="451"/>
      <c r="AW60" s="451"/>
      <c r="AX60" s="451"/>
      <c r="AY60" s="451"/>
      <c r="AZ60" s="451"/>
      <c r="BA60" s="451"/>
      <c r="BB60" s="451"/>
      <c r="BC60" s="451"/>
      <c r="BD60" s="451"/>
      <c r="BE60" s="451"/>
      <c r="BF60" s="451"/>
      <c r="BG60" s="451"/>
      <c r="BH60" s="423"/>
    </row>
    <row r="61" spans="1:60">
      <c r="A61" s="113"/>
      <c r="B61" s="113"/>
      <c r="C61" s="449"/>
      <c r="D61" s="398" t="s">
        <v>767</v>
      </c>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449"/>
      <c r="AF61" s="451"/>
      <c r="AG61" s="451">
        <v>1274</v>
      </c>
      <c r="AH61" s="451" t="s">
        <v>140</v>
      </c>
      <c r="AI61" s="451"/>
      <c r="AJ61" s="451"/>
      <c r="AK61" s="451"/>
      <c r="AL61" s="451"/>
      <c r="AM61" s="451"/>
      <c r="AN61" s="451"/>
      <c r="AO61" s="451"/>
      <c r="AP61" s="451"/>
      <c r="AQ61" s="451"/>
      <c r="AR61" s="451"/>
      <c r="AS61" s="451"/>
      <c r="AT61" s="451"/>
      <c r="AU61" s="451"/>
      <c r="AV61" s="451"/>
      <c r="AW61" s="451"/>
      <c r="AX61" s="451"/>
      <c r="AY61" s="451"/>
      <c r="AZ61" s="451"/>
      <c r="BA61" s="451"/>
      <c r="BB61" s="451"/>
      <c r="BC61" s="451"/>
      <c r="BD61" s="451"/>
      <c r="BE61" s="451"/>
      <c r="BF61" s="451"/>
      <c r="BG61" s="451"/>
      <c r="BH61" s="423"/>
    </row>
    <row r="62" spans="1:60">
      <c r="A62" s="113"/>
      <c r="B62" s="113"/>
      <c r="C62" s="449"/>
      <c r="D62" s="398" t="s">
        <v>768</v>
      </c>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449"/>
      <c r="AF62" s="451"/>
      <c r="AG62" s="451">
        <v>1292</v>
      </c>
      <c r="AH62" s="451" t="s">
        <v>141</v>
      </c>
      <c r="AI62" s="451"/>
      <c r="AJ62" s="451"/>
      <c r="AK62" s="451"/>
      <c r="AL62" s="451"/>
      <c r="AM62" s="451"/>
      <c r="AN62" s="451"/>
      <c r="AO62" s="451"/>
      <c r="AP62" s="451"/>
      <c r="AQ62" s="451"/>
      <c r="AR62" s="451"/>
      <c r="AS62" s="451"/>
      <c r="AT62" s="451"/>
      <c r="AU62" s="451"/>
      <c r="AV62" s="451"/>
      <c r="AW62" s="451"/>
      <c r="AX62" s="451"/>
      <c r="AY62" s="451"/>
      <c r="AZ62" s="451"/>
      <c r="BA62" s="451"/>
      <c r="BB62" s="451"/>
      <c r="BC62" s="451"/>
      <c r="BD62" s="451"/>
      <c r="BE62" s="451"/>
      <c r="BF62" s="451"/>
      <c r="BG62" s="451"/>
      <c r="BH62" s="423"/>
    </row>
    <row r="63" spans="1:60">
      <c r="A63" s="113"/>
      <c r="B63" s="113"/>
      <c r="C63" s="449"/>
      <c r="D63" s="398" t="s">
        <v>771</v>
      </c>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449"/>
      <c r="AF63" s="451"/>
      <c r="AG63" s="451">
        <v>1300</v>
      </c>
      <c r="AH63" s="451" t="s">
        <v>142</v>
      </c>
      <c r="AI63" s="451"/>
      <c r="AJ63" s="451"/>
      <c r="AK63" s="451"/>
      <c r="AL63" s="451"/>
      <c r="AM63" s="451"/>
      <c r="AN63" s="451"/>
      <c r="AO63" s="451"/>
      <c r="AP63" s="451"/>
      <c r="AQ63" s="451"/>
      <c r="AR63" s="451"/>
      <c r="AS63" s="451"/>
      <c r="AT63" s="451"/>
      <c r="AU63" s="451"/>
      <c r="AV63" s="451"/>
      <c r="AW63" s="451"/>
      <c r="AX63" s="451"/>
      <c r="AY63" s="451"/>
      <c r="AZ63" s="451"/>
      <c r="BA63" s="451"/>
      <c r="BB63" s="451"/>
      <c r="BC63" s="451"/>
      <c r="BD63" s="451"/>
      <c r="BE63" s="451"/>
      <c r="BF63" s="451"/>
      <c r="BG63" s="451"/>
      <c r="BH63" s="423"/>
    </row>
    <row r="64" spans="1:60">
      <c r="A64" s="113"/>
      <c r="B64" s="113"/>
      <c r="C64" s="449"/>
      <c r="D64" s="398" t="s">
        <v>769</v>
      </c>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449"/>
      <c r="AF64" s="451"/>
      <c r="AG64" s="451">
        <v>1302</v>
      </c>
      <c r="AH64" s="451" t="s">
        <v>143</v>
      </c>
      <c r="AI64" s="451"/>
      <c r="AJ64" s="451"/>
      <c r="AK64" s="451"/>
      <c r="AL64" s="451"/>
      <c r="AM64" s="451"/>
      <c r="AN64" s="451"/>
      <c r="AO64" s="451"/>
      <c r="AP64" s="451"/>
      <c r="AQ64" s="451"/>
      <c r="AR64" s="451"/>
      <c r="AS64" s="451"/>
      <c r="AT64" s="451"/>
      <c r="AU64" s="451"/>
      <c r="AV64" s="451"/>
      <c r="AW64" s="451"/>
      <c r="AX64" s="451"/>
      <c r="AY64" s="451"/>
      <c r="AZ64" s="451"/>
      <c r="BA64" s="451"/>
      <c r="BB64" s="451"/>
      <c r="BC64" s="451"/>
      <c r="BD64" s="451"/>
      <c r="BE64" s="451"/>
      <c r="BF64" s="451"/>
      <c r="BG64" s="451"/>
      <c r="BH64" s="423"/>
    </row>
    <row r="65" spans="1:60" hidden="1">
      <c r="A65" s="113"/>
      <c r="B65" s="113"/>
      <c r="C65" s="449"/>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449"/>
      <c r="AF65" s="113"/>
      <c r="AG65" s="47">
        <v>1317</v>
      </c>
      <c r="AH65" s="47" t="s">
        <v>144</v>
      </c>
      <c r="BH65" s="423"/>
    </row>
    <row r="66" spans="1:60" hidden="1">
      <c r="A66" s="113"/>
      <c r="B66" s="113"/>
      <c r="C66" s="449"/>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449"/>
      <c r="AF66" s="113"/>
      <c r="AG66" s="47">
        <v>1321</v>
      </c>
      <c r="AH66" s="47" t="s">
        <v>145</v>
      </c>
      <c r="BH66" s="423"/>
    </row>
    <row r="67" spans="1:60" hidden="1">
      <c r="A67" s="113"/>
      <c r="B67" s="113"/>
      <c r="C67" s="449"/>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449"/>
      <c r="AF67" s="113"/>
      <c r="AG67" s="47">
        <v>1340</v>
      </c>
      <c r="AH67" s="47" t="s">
        <v>146</v>
      </c>
      <c r="BH67" s="423"/>
    </row>
    <row r="68" spans="1:60" hidden="1">
      <c r="A68" s="113"/>
      <c r="B68" s="113"/>
      <c r="C68" s="449"/>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449"/>
      <c r="AF68" s="113"/>
      <c r="AG68" s="47">
        <v>1348</v>
      </c>
      <c r="AH68" s="47" t="s">
        <v>147</v>
      </c>
      <c r="BH68" s="423"/>
    </row>
    <row r="69" spans="1:60" hidden="1">
      <c r="A69" s="113"/>
      <c r="B69" s="113"/>
      <c r="C69" s="449"/>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449"/>
      <c r="AF69" s="113"/>
      <c r="AG69" s="47">
        <v>1374</v>
      </c>
      <c r="AH69" s="47" t="s">
        <v>148</v>
      </c>
      <c r="BH69" s="423"/>
    </row>
    <row r="70" spans="1:60" hidden="1">
      <c r="A70" s="113"/>
      <c r="B70" s="113"/>
      <c r="C70" s="449"/>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449"/>
      <c r="AF70" s="113"/>
      <c r="AG70" s="47">
        <v>1376</v>
      </c>
      <c r="AH70" s="47" t="s">
        <v>149</v>
      </c>
      <c r="BH70" s="423"/>
    </row>
    <row r="71" spans="1:60" hidden="1">
      <c r="A71" s="113"/>
      <c r="B71" s="113"/>
      <c r="C71" s="449"/>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449"/>
      <c r="AF71" s="113"/>
      <c r="AG71" s="47">
        <v>1354</v>
      </c>
      <c r="AH71" s="47" t="s">
        <v>150</v>
      </c>
      <c r="BH71" s="423"/>
    </row>
    <row r="72" spans="1:60" hidden="1">
      <c r="A72" s="113"/>
      <c r="B72" s="113"/>
      <c r="C72" s="449"/>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449"/>
      <c r="AF72" s="113"/>
      <c r="AG72" s="47">
        <v>1377</v>
      </c>
      <c r="AH72" s="47" t="s">
        <v>151</v>
      </c>
      <c r="BH72" s="423"/>
    </row>
    <row r="73" spans="1:60" hidden="1">
      <c r="A73" s="113"/>
      <c r="B73" s="113"/>
      <c r="C73" s="449"/>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449"/>
      <c r="AF73" s="113"/>
      <c r="AG73" s="47">
        <v>1389</v>
      </c>
      <c r="AH73" s="47" t="s">
        <v>152</v>
      </c>
      <c r="BH73" s="423"/>
    </row>
    <row r="74" spans="1:60" hidden="1">
      <c r="A74" s="113"/>
      <c r="B74" s="113"/>
      <c r="C74" s="449"/>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449"/>
      <c r="AF74" s="113"/>
      <c r="AG74" s="47">
        <v>1401</v>
      </c>
      <c r="AH74" s="47" t="s">
        <v>153</v>
      </c>
      <c r="BH74" s="423"/>
    </row>
    <row r="75" spans="1:60" hidden="1">
      <c r="A75" s="113"/>
      <c r="B75" s="113"/>
      <c r="C75" s="449"/>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449"/>
      <c r="AF75" s="113"/>
      <c r="AG75" s="47">
        <v>1410</v>
      </c>
      <c r="AH75" s="47" t="s">
        <v>154</v>
      </c>
      <c r="BH75" s="423"/>
    </row>
    <row r="76" spans="1:60" hidden="1">
      <c r="A76" s="113"/>
      <c r="B76" s="113"/>
      <c r="C76" s="449"/>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449"/>
      <c r="AF76" s="113"/>
      <c r="AG76" s="47">
        <v>1424</v>
      </c>
      <c r="AH76" s="47" t="s">
        <v>155</v>
      </c>
      <c r="BH76" s="423"/>
    </row>
    <row r="77" spans="1:60" hidden="1">
      <c r="A77" s="113"/>
      <c r="B77" s="113"/>
      <c r="C77" s="449"/>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449"/>
      <c r="AF77" s="113"/>
      <c r="AG77" s="47">
        <v>1428</v>
      </c>
      <c r="AH77" s="47" t="s">
        <v>156</v>
      </c>
      <c r="BH77" s="423"/>
    </row>
    <row r="78" spans="1:60" hidden="1">
      <c r="A78" s="113"/>
      <c r="B78" s="113"/>
      <c r="C78" s="449"/>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449"/>
      <c r="AF78" s="113"/>
      <c r="AG78" s="47">
        <v>1441</v>
      </c>
      <c r="AH78" s="47" t="s">
        <v>157</v>
      </c>
      <c r="BH78" s="423"/>
    </row>
    <row r="79" spans="1:60" hidden="1">
      <c r="A79" s="113"/>
      <c r="B79" s="113"/>
      <c r="C79" s="449"/>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449"/>
      <c r="AF79" s="113"/>
      <c r="AG79" s="47">
        <v>1447</v>
      </c>
      <c r="AH79" s="47" t="s">
        <v>158</v>
      </c>
      <c r="BH79" s="423"/>
    </row>
    <row r="80" spans="1:60" hidden="1">
      <c r="A80" s="113"/>
      <c r="B80" s="113"/>
      <c r="C80" s="449"/>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449"/>
      <c r="AF80" s="113"/>
      <c r="AG80" s="47">
        <v>1459</v>
      </c>
      <c r="AH80" s="47" t="s">
        <v>159</v>
      </c>
      <c r="BH80" s="423"/>
    </row>
    <row r="81" spans="1:60" hidden="1">
      <c r="A81" s="113"/>
      <c r="B81" s="113"/>
      <c r="C81" s="449"/>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449"/>
      <c r="AF81" s="113"/>
      <c r="AG81" s="47">
        <v>1448</v>
      </c>
      <c r="AH81" s="47" t="s">
        <v>160</v>
      </c>
      <c r="BH81" s="423"/>
    </row>
    <row r="82" spans="1:60" hidden="1">
      <c r="A82" s="113"/>
      <c r="B82" s="113"/>
      <c r="C82" s="449"/>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449"/>
      <c r="AF82" s="113"/>
      <c r="AG82" s="47">
        <v>1449</v>
      </c>
      <c r="AH82" s="47" t="s">
        <v>161</v>
      </c>
      <c r="BH82" s="423"/>
    </row>
    <row r="83" spans="1:60" hidden="1">
      <c r="A83" s="113"/>
      <c r="B83" s="113"/>
      <c r="C83" s="449"/>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449"/>
      <c r="AF83" s="113"/>
      <c r="AG83" s="47">
        <v>1451</v>
      </c>
      <c r="AH83" s="47" t="s">
        <v>162</v>
      </c>
      <c r="BH83" s="423"/>
    </row>
    <row r="84" spans="1:60" hidden="1">
      <c r="A84" s="113"/>
      <c r="B84" s="113"/>
      <c r="C84" s="449"/>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449"/>
      <c r="AF84" s="113"/>
      <c r="AG84" s="47">
        <v>1452</v>
      </c>
      <c r="AH84" s="47" t="s">
        <v>163</v>
      </c>
      <c r="BH84" s="423"/>
    </row>
    <row r="85" spans="1:60" hidden="1">
      <c r="A85" s="113"/>
      <c r="B85" s="113"/>
      <c r="C85" s="449"/>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449"/>
      <c r="AF85" s="113"/>
      <c r="AG85" s="47">
        <v>1453</v>
      </c>
      <c r="AH85" s="47" t="s">
        <v>164</v>
      </c>
      <c r="BH85" s="423"/>
    </row>
    <row r="86" spans="1:60" hidden="1">
      <c r="A86" s="113"/>
      <c r="B86" s="113"/>
      <c r="C86" s="449"/>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449"/>
      <c r="AF86" s="113"/>
      <c r="AG86" s="47">
        <v>1460</v>
      </c>
      <c r="AH86" s="47" t="s">
        <v>165</v>
      </c>
      <c r="BH86" s="423"/>
    </row>
    <row r="87" spans="1:60" hidden="1">
      <c r="A87" s="113"/>
      <c r="B87" s="113"/>
      <c r="C87" s="449"/>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449"/>
      <c r="AF87" s="113"/>
      <c r="AG87" s="47">
        <v>1468</v>
      </c>
      <c r="AH87" s="47" t="s">
        <v>166</v>
      </c>
      <c r="BH87" s="423"/>
    </row>
    <row r="88" spans="1:60" hidden="1">
      <c r="A88" s="113"/>
      <c r="B88" s="113"/>
      <c r="C88" s="449"/>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449"/>
      <c r="AF88" s="113"/>
      <c r="AG88" s="47">
        <v>1481</v>
      </c>
      <c r="AH88" s="47" t="s">
        <v>167</v>
      </c>
      <c r="BH88" s="423"/>
    </row>
    <row r="89" spans="1:60" hidden="1">
      <c r="A89" s="113"/>
      <c r="B89" s="113"/>
      <c r="C89" s="449"/>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449"/>
      <c r="AF89" s="113"/>
      <c r="AG89" s="47">
        <v>1503</v>
      </c>
      <c r="AH89" s="47" t="s">
        <v>168</v>
      </c>
      <c r="BH89" s="423"/>
    </row>
    <row r="90" spans="1:60" hidden="1">
      <c r="A90" s="113"/>
      <c r="B90" s="113"/>
      <c r="C90" s="449"/>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449"/>
      <c r="AF90" s="113"/>
      <c r="AG90" s="47">
        <v>1544</v>
      </c>
      <c r="AH90" s="47" t="s">
        <v>169</v>
      </c>
      <c r="BH90" s="423"/>
    </row>
    <row r="91" spans="1:60" hidden="1">
      <c r="A91" s="113"/>
      <c r="B91" s="113"/>
      <c r="C91" s="449"/>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449"/>
      <c r="AF91" s="113"/>
      <c r="AG91" s="47">
        <v>1545</v>
      </c>
      <c r="AH91" s="47" t="s">
        <v>170</v>
      </c>
      <c r="BH91" s="423"/>
    </row>
    <row r="92" spans="1:60" hidden="1">
      <c r="A92" s="113"/>
      <c r="B92" s="113"/>
      <c r="C92" s="449"/>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449"/>
      <c r="AF92" s="113"/>
      <c r="AG92" s="47">
        <v>1549</v>
      </c>
      <c r="AH92" s="47" t="s">
        <v>171</v>
      </c>
      <c r="BH92" s="423"/>
    </row>
    <row r="93" spans="1:60" hidden="1">
      <c r="A93" s="113"/>
      <c r="B93" s="113"/>
      <c r="C93" s="449"/>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449"/>
      <c r="AF93" s="113"/>
      <c r="AG93" s="47">
        <v>1550</v>
      </c>
      <c r="AH93" s="47" t="s">
        <v>172</v>
      </c>
      <c r="BH93" s="423"/>
    </row>
    <row r="94" spans="1:60" hidden="1">
      <c r="A94" s="113"/>
      <c r="B94" s="113"/>
      <c r="C94" s="449"/>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449"/>
      <c r="AF94" s="113"/>
      <c r="AG94" s="47">
        <v>1607</v>
      </c>
      <c r="AH94" s="47" t="s">
        <v>173</v>
      </c>
      <c r="BH94" s="423"/>
    </row>
    <row r="95" spans="1:60" hidden="1">
      <c r="A95" s="113"/>
      <c r="B95" s="113"/>
      <c r="C95" s="449"/>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449"/>
      <c r="AF95" s="113"/>
      <c r="AG95" s="47">
        <v>1610</v>
      </c>
      <c r="AH95" s="47" t="s">
        <v>174</v>
      </c>
      <c r="BH95" s="423"/>
    </row>
    <row r="96" spans="1:60" hidden="1">
      <c r="A96" s="113"/>
      <c r="B96" s="113"/>
      <c r="C96" s="449"/>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449"/>
      <c r="AF96" s="113"/>
      <c r="AG96" s="47">
        <v>1615</v>
      </c>
      <c r="AH96" s="47" t="s">
        <v>175</v>
      </c>
      <c r="BH96" s="423"/>
    </row>
    <row r="97" spans="1:60" hidden="1">
      <c r="A97" s="113"/>
      <c r="B97" s="113"/>
      <c r="C97" s="449"/>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449"/>
      <c r="AF97" s="113"/>
      <c r="AG97" s="47">
        <v>1625</v>
      </c>
      <c r="AH97" s="47" t="s">
        <v>176</v>
      </c>
      <c r="BH97" s="423"/>
    </row>
    <row r="98" spans="1:60" hidden="1">
      <c r="A98" s="113"/>
      <c r="B98" s="113"/>
      <c r="C98" s="449"/>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449"/>
      <c r="AF98" s="113"/>
      <c r="AG98" s="47">
        <v>1636</v>
      </c>
      <c r="AH98" s="47" t="s">
        <v>177</v>
      </c>
      <c r="BH98" s="423"/>
    </row>
    <row r="99" spans="1:60" hidden="1">
      <c r="A99" s="113"/>
      <c r="B99" s="113"/>
      <c r="C99" s="449"/>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449"/>
      <c r="AF99" s="113"/>
      <c r="AG99" s="47">
        <v>1637</v>
      </c>
      <c r="AH99" s="47" t="s">
        <v>178</v>
      </c>
      <c r="BH99" s="423"/>
    </row>
    <row r="100" spans="1:60" hidden="1">
      <c r="A100" s="113"/>
      <c r="B100" s="113"/>
      <c r="C100" s="449"/>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449"/>
      <c r="AF100" s="113"/>
      <c r="AG100" s="47">
        <v>1643</v>
      </c>
      <c r="AH100" s="47" t="s">
        <v>179</v>
      </c>
      <c r="BH100" s="423"/>
    </row>
    <row r="101" spans="1:60" hidden="1">
      <c r="A101" s="113"/>
      <c r="B101" s="113"/>
      <c r="C101" s="449"/>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449"/>
      <c r="AF101" s="113"/>
      <c r="AG101" s="47">
        <v>1670</v>
      </c>
      <c r="AH101" s="47" t="s">
        <v>180</v>
      </c>
      <c r="BH101" s="423"/>
    </row>
    <row r="102" spans="1:60" hidden="1">
      <c r="A102" s="113"/>
      <c r="B102" s="113"/>
      <c r="C102" s="449"/>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449"/>
      <c r="AF102" s="113"/>
      <c r="AG102" s="47">
        <v>1677</v>
      </c>
      <c r="AH102" s="47" t="s">
        <v>181</v>
      </c>
      <c r="BH102" s="423"/>
    </row>
    <row r="103" spans="1:60" hidden="1">
      <c r="A103" s="113"/>
      <c r="B103" s="113"/>
      <c r="C103" s="449"/>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449"/>
      <c r="AF103" s="113"/>
      <c r="AG103" s="47">
        <v>1691</v>
      </c>
      <c r="AH103" s="47" t="s">
        <v>132</v>
      </c>
      <c r="BH103" s="423"/>
    </row>
    <row r="104" spans="1:60" hidden="1">
      <c r="A104" s="113"/>
      <c r="B104" s="113"/>
      <c r="C104" s="449"/>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449"/>
      <c r="AF104" s="113"/>
      <c r="AG104" s="47">
        <v>1692</v>
      </c>
      <c r="AH104" s="47" t="s">
        <v>182</v>
      </c>
      <c r="BH104" s="423"/>
    </row>
    <row r="105" spans="1:60" hidden="1">
      <c r="A105" s="113"/>
      <c r="B105" s="113"/>
      <c r="C105" s="449"/>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449"/>
      <c r="AF105" s="113"/>
      <c r="AG105" s="47">
        <v>1703</v>
      </c>
      <c r="AH105" s="47" t="s">
        <v>183</v>
      </c>
      <c r="BH105" s="423"/>
    </row>
    <row r="106" spans="1:60" hidden="1">
      <c r="A106" s="113"/>
      <c r="B106" s="113"/>
      <c r="C106" s="449"/>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449"/>
      <c r="AF106" s="113"/>
      <c r="AG106" s="47">
        <v>1721</v>
      </c>
      <c r="AH106" s="47" t="s">
        <v>184</v>
      </c>
      <c r="BH106" s="423"/>
    </row>
    <row r="107" spans="1:60" hidden="1">
      <c r="A107" s="113"/>
      <c r="B107" s="113"/>
      <c r="C107" s="449"/>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449"/>
      <c r="AF107" s="113"/>
      <c r="AG107" s="47">
        <v>1737</v>
      </c>
      <c r="AH107" s="47" t="s">
        <v>185</v>
      </c>
      <c r="BH107" s="423"/>
    </row>
    <row r="108" spans="1:60" hidden="1">
      <c r="A108" s="113"/>
      <c r="B108" s="113"/>
      <c r="C108" s="449"/>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449"/>
      <c r="AF108" s="113"/>
      <c r="AG108" s="47">
        <v>1741</v>
      </c>
      <c r="AH108" s="47" t="s">
        <v>186</v>
      </c>
      <c r="BH108" s="423"/>
    </row>
    <row r="109" spans="1:60" hidden="1">
      <c r="A109" s="113"/>
      <c r="B109" s="113"/>
      <c r="C109" s="449"/>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449"/>
      <c r="AF109" s="113"/>
      <c r="AG109" s="47">
        <v>1757</v>
      </c>
      <c r="AH109" s="47" t="s">
        <v>187</v>
      </c>
      <c r="BH109" s="423"/>
    </row>
    <row r="110" spans="1:60" hidden="1">
      <c r="A110" s="113"/>
      <c r="B110" s="113"/>
      <c r="C110" s="449"/>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449"/>
      <c r="AF110" s="113"/>
      <c r="AG110" s="47">
        <v>1771</v>
      </c>
      <c r="AH110" s="47" t="s">
        <v>188</v>
      </c>
      <c r="BH110" s="423"/>
    </row>
    <row r="111" spans="1:60" hidden="1">
      <c r="A111" s="113"/>
      <c r="B111" s="113"/>
      <c r="C111" s="449"/>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449"/>
      <c r="AF111" s="113"/>
      <c r="AG111" s="47">
        <v>1773</v>
      </c>
      <c r="AH111" s="47" t="s">
        <v>189</v>
      </c>
      <c r="BH111" s="423"/>
    </row>
    <row r="112" spans="1:60" hidden="1">
      <c r="A112" s="113"/>
      <c r="B112" s="113"/>
      <c r="C112" s="449"/>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449"/>
      <c r="AF112" s="113"/>
      <c r="AG112" s="47">
        <v>1786</v>
      </c>
      <c r="AH112" s="47" t="s">
        <v>190</v>
      </c>
      <c r="BH112" s="423"/>
    </row>
    <row r="113" spans="1:60" hidden="1">
      <c r="A113" s="113"/>
      <c r="B113" s="113"/>
      <c r="C113" s="449"/>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449"/>
      <c r="AF113" s="113"/>
      <c r="AG113" s="47">
        <v>1845</v>
      </c>
      <c r="AH113" s="47" t="s">
        <v>191</v>
      </c>
      <c r="BH113" s="423"/>
    </row>
    <row r="114" spans="1:60" hidden="1">
      <c r="A114" s="113"/>
      <c r="B114" s="113"/>
      <c r="C114" s="449"/>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449"/>
      <c r="AF114" s="113"/>
      <c r="AG114" s="47">
        <v>1860</v>
      </c>
      <c r="AH114" s="47" t="s">
        <v>192</v>
      </c>
      <c r="BH114" s="423"/>
    </row>
    <row r="115" spans="1:60" hidden="1">
      <c r="A115" s="113"/>
      <c r="B115" s="113"/>
      <c r="C115" s="449"/>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449"/>
      <c r="AF115" s="113"/>
      <c r="AG115" s="47">
        <v>1864</v>
      </c>
      <c r="AH115" s="47" t="s">
        <v>193</v>
      </c>
      <c r="BH115" s="423"/>
    </row>
    <row r="116" spans="1:60" hidden="1">
      <c r="A116" s="113"/>
      <c r="B116" s="113"/>
      <c r="C116" s="449"/>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449"/>
      <c r="AF116" s="113"/>
      <c r="AG116" s="47">
        <v>1868</v>
      </c>
      <c r="AH116" s="47" t="s">
        <v>194</v>
      </c>
      <c r="BH116" s="423"/>
    </row>
    <row r="117" spans="1:60" hidden="1">
      <c r="A117" s="113"/>
      <c r="B117" s="113"/>
      <c r="C117" s="449"/>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449"/>
      <c r="AF117" s="113"/>
      <c r="AG117" s="47">
        <v>1887</v>
      </c>
      <c r="AH117" s="47" t="s">
        <v>195</v>
      </c>
      <c r="BH117" s="423"/>
    </row>
    <row r="118" spans="1:60" hidden="1">
      <c r="A118" s="113"/>
      <c r="B118" s="113"/>
      <c r="C118" s="449"/>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449"/>
      <c r="AF118" s="113"/>
      <c r="AG118" s="47">
        <v>1891</v>
      </c>
      <c r="AH118" s="47" t="s">
        <v>196</v>
      </c>
      <c r="BH118" s="423"/>
    </row>
    <row r="119" spans="1:60" hidden="1">
      <c r="A119" s="113"/>
      <c r="B119" s="113"/>
      <c r="C119" s="449"/>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449"/>
      <c r="AF119" s="113"/>
      <c r="AG119" s="47">
        <v>1911</v>
      </c>
      <c r="AH119" s="47" t="s">
        <v>197</v>
      </c>
      <c r="BH119" s="423"/>
    </row>
    <row r="120" spans="1:60" hidden="1">
      <c r="A120" s="113"/>
      <c r="B120" s="113"/>
      <c r="C120" s="449"/>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449"/>
      <c r="AF120" s="113"/>
      <c r="AG120" s="47">
        <v>1914</v>
      </c>
      <c r="AH120" s="47" t="s">
        <v>198</v>
      </c>
      <c r="BH120" s="423"/>
    </row>
    <row r="121" spans="1:60" hidden="1">
      <c r="A121" s="113"/>
      <c r="B121" s="113"/>
      <c r="C121" s="449"/>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449"/>
      <c r="AF121" s="113"/>
      <c r="AG121" s="47">
        <v>1922</v>
      </c>
      <c r="AH121" s="47" t="s">
        <v>199</v>
      </c>
      <c r="BH121" s="423"/>
    </row>
    <row r="122" spans="1:60" hidden="1">
      <c r="A122" s="113"/>
      <c r="B122" s="113"/>
      <c r="C122" s="449"/>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449"/>
      <c r="AF122" s="113"/>
      <c r="AG122" s="47">
        <v>1923</v>
      </c>
      <c r="AH122" s="47" t="s">
        <v>200</v>
      </c>
      <c r="BH122" s="423"/>
    </row>
    <row r="123" spans="1:60" hidden="1">
      <c r="A123" s="113"/>
      <c r="B123" s="113"/>
      <c r="C123" s="449"/>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449"/>
      <c r="AF123" s="113"/>
      <c r="AG123" s="47">
        <v>1928</v>
      </c>
      <c r="AH123" s="47" t="s">
        <v>133</v>
      </c>
      <c r="BH123" s="423"/>
    </row>
    <row r="124" spans="1:60" hidden="1">
      <c r="A124" s="113"/>
      <c r="B124" s="113"/>
      <c r="C124" s="449"/>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449"/>
      <c r="AF124" s="113"/>
      <c r="AG124" s="47">
        <v>1930</v>
      </c>
      <c r="AH124" s="47" t="s">
        <v>201</v>
      </c>
      <c r="BH124" s="423"/>
    </row>
    <row r="125" spans="1:60" hidden="1">
      <c r="A125" s="113"/>
      <c r="B125" s="113"/>
      <c r="C125" s="449"/>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449"/>
      <c r="AF125" s="113"/>
      <c r="AG125" s="47">
        <v>1936</v>
      </c>
      <c r="AH125" s="47" t="s">
        <v>202</v>
      </c>
      <c r="BH125" s="423"/>
    </row>
    <row r="126" spans="1:60" hidden="1">
      <c r="A126" s="113"/>
      <c r="B126" s="113"/>
      <c r="C126" s="449"/>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449"/>
      <c r="AF126" s="113"/>
      <c r="AG126" s="47">
        <v>1937</v>
      </c>
      <c r="AH126" s="47" t="s">
        <v>203</v>
      </c>
      <c r="BH126" s="423"/>
    </row>
    <row r="127" spans="1:60" hidden="1">
      <c r="A127" s="113"/>
      <c r="B127" s="113"/>
      <c r="C127" s="449"/>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449"/>
      <c r="AF127" s="113"/>
      <c r="AG127" s="47">
        <v>1939</v>
      </c>
      <c r="AH127" s="47" t="s">
        <v>204</v>
      </c>
      <c r="BH127" s="423"/>
    </row>
    <row r="128" spans="1:60" hidden="1">
      <c r="A128" s="113"/>
      <c r="B128" s="113"/>
      <c r="C128" s="449"/>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449"/>
      <c r="AF128" s="113"/>
      <c r="AG128" s="47">
        <v>1944</v>
      </c>
      <c r="AH128" s="47" t="s">
        <v>205</v>
      </c>
      <c r="BH128" s="423"/>
    </row>
    <row r="129" spans="1:60" hidden="1">
      <c r="A129" s="113"/>
      <c r="B129" s="113"/>
      <c r="C129" s="449"/>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449"/>
      <c r="AF129" s="113"/>
      <c r="AG129" s="47">
        <v>1947</v>
      </c>
      <c r="AH129" s="47" t="s">
        <v>125</v>
      </c>
      <c r="BH129" s="423"/>
    </row>
    <row r="130" spans="1:60" hidden="1">
      <c r="A130" s="113"/>
      <c r="B130" s="113"/>
      <c r="C130" s="449"/>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449"/>
      <c r="AF130" s="113"/>
      <c r="AG130" s="47">
        <v>1953</v>
      </c>
      <c r="AH130" s="47" t="s">
        <v>126</v>
      </c>
      <c r="BH130" s="423"/>
    </row>
    <row r="131" spans="1:60" hidden="1">
      <c r="A131" s="113"/>
      <c r="B131" s="113"/>
      <c r="C131" s="449"/>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449"/>
      <c r="AF131" s="113"/>
      <c r="AG131" s="47">
        <v>1956</v>
      </c>
      <c r="AH131" s="47" t="s">
        <v>206</v>
      </c>
      <c r="BH131" s="423"/>
    </row>
    <row r="132" spans="1:60" hidden="1">
      <c r="A132" s="113"/>
      <c r="B132" s="113"/>
      <c r="C132" s="449"/>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449"/>
      <c r="AF132" s="113"/>
      <c r="AG132" s="47">
        <v>1968</v>
      </c>
      <c r="AH132" s="47" t="s">
        <v>127</v>
      </c>
      <c r="BH132" s="423"/>
    </row>
    <row r="133" spans="1:60" hidden="1">
      <c r="A133" s="113"/>
      <c r="B133" s="113"/>
      <c r="C133" s="449"/>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449"/>
      <c r="AF133" s="113"/>
      <c r="AG133" s="47">
        <v>1971</v>
      </c>
      <c r="AH133" s="47" t="s">
        <v>207</v>
      </c>
      <c r="BH133" s="423"/>
    </row>
    <row r="134" spans="1:60" hidden="1">
      <c r="A134" s="113"/>
      <c r="B134" s="113"/>
      <c r="C134" s="449"/>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449"/>
      <c r="AF134" s="113"/>
      <c r="AG134" s="47">
        <v>1979</v>
      </c>
      <c r="AH134" s="47" t="s">
        <v>128</v>
      </c>
      <c r="BH134" s="423"/>
    </row>
    <row r="135" spans="1:60" hidden="1">
      <c r="A135" s="113"/>
      <c r="B135" s="113"/>
      <c r="C135" s="449"/>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449"/>
      <c r="AF135" s="113"/>
      <c r="AG135" s="47">
        <v>1980</v>
      </c>
      <c r="AH135" s="47" t="s">
        <v>208</v>
      </c>
      <c r="BH135" s="423"/>
    </row>
    <row r="136" spans="1:60" hidden="1">
      <c r="A136" s="113"/>
      <c r="B136" s="113"/>
      <c r="C136" s="449"/>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449"/>
      <c r="AF136" s="113"/>
      <c r="AG136" s="47">
        <v>1991</v>
      </c>
      <c r="AH136" s="47" t="s">
        <v>209</v>
      </c>
      <c r="BH136" s="423"/>
    </row>
    <row r="137" spans="1:60" hidden="1">
      <c r="A137" s="113"/>
      <c r="B137" s="113"/>
      <c r="C137" s="449"/>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449"/>
      <c r="AF137" s="113"/>
      <c r="AG137" s="47">
        <v>1997</v>
      </c>
      <c r="AH137" s="47" t="s">
        <v>210</v>
      </c>
      <c r="BH137" s="423"/>
    </row>
    <row r="138" spans="1:60" hidden="1">
      <c r="A138" s="113"/>
      <c r="B138" s="113"/>
      <c r="C138" s="449"/>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449"/>
      <c r="AF138" s="113"/>
      <c r="AG138" s="47">
        <v>1998</v>
      </c>
      <c r="AH138" s="47" t="s">
        <v>211</v>
      </c>
      <c r="AT138" s="113"/>
      <c r="AU138" s="113"/>
      <c r="AV138" s="113"/>
      <c r="AW138" s="113"/>
      <c r="AX138" s="113"/>
      <c r="AY138" s="437"/>
      <c r="AZ138" s="437"/>
      <c r="BA138" s="437"/>
      <c r="BB138" s="437"/>
      <c r="BC138" s="437"/>
      <c r="BD138" s="437"/>
      <c r="BE138" s="437"/>
      <c r="BF138" s="437"/>
      <c r="BG138" s="437"/>
      <c r="BH138" s="423"/>
    </row>
    <row r="139" spans="1:60" hidden="1">
      <c r="A139" s="113"/>
      <c r="B139" s="113"/>
      <c r="C139" s="449"/>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449"/>
      <c r="AF139" s="113"/>
      <c r="AG139" s="47">
        <v>2000</v>
      </c>
      <c r="AH139" s="47" t="s">
        <v>213</v>
      </c>
      <c r="AT139" s="113"/>
      <c r="AU139" s="113"/>
      <c r="AV139" s="113"/>
      <c r="AW139" s="113"/>
      <c r="AX139" s="113"/>
      <c r="AY139" s="437"/>
      <c r="AZ139" s="437"/>
      <c r="BA139" s="437"/>
      <c r="BB139" s="437"/>
      <c r="BC139" s="437"/>
      <c r="BD139" s="437"/>
      <c r="BE139" s="437"/>
      <c r="BF139" s="437"/>
      <c r="BG139" s="437"/>
      <c r="BH139" s="423"/>
    </row>
    <row r="140" spans="1:60" hidden="1">
      <c r="A140" s="113"/>
      <c r="B140" s="113"/>
      <c r="C140" s="449"/>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449"/>
      <c r="AF140" s="113"/>
      <c r="AG140" s="47">
        <v>2002</v>
      </c>
      <c r="AH140" s="47" t="s">
        <v>212</v>
      </c>
      <c r="AT140" s="113"/>
      <c r="AU140" s="113"/>
      <c r="AV140" s="113"/>
      <c r="AW140" s="113"/>
      <c r="AX140" s="113"/>
      <c r="AY140" s="437"/>
      <c r="AZ140" s="437"/>
      <c r="BA140" s="437"/>
      <c r="BB140" s="437"/>
      <c r="BC140" s="437"/>
      <c r="BD140" s="437"/>
      <c r="BE140" s="437"/>
      <c r="BF140" s="437"/>
      <c r="BG140" s="437"/>
      <c r="BH140" s="423"/>
    </row>
    <row r="141" spans="1:60" hidden="1">
      <c r="A141" s="113"/>
      <c r="B141" s="113"/>
      <c r="C141" s="449"/>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449"/>
      <c r="AF141" s="113"/>
      <c r="AG141" s="47">
        <v>2003</v>
      </c>
      <c r="AH141" s="47" t="s">
        <v>214</v>
      </c>
      <c r="AT141" s="113"/>
      <c r="AU141" s="113"/>
      <c r="AV141" s="113"/>
      <c r="AW141" s="113"/>
      <c r="AX141" s="113"/>
      <c r="AY141" s="437"/>
      <c r="AZ141" s="437"/>
      <c r="BA141" s="437"/>
      <c r="BB141" s="437"/>
      <c r="BC141" s="437"/>
      <c r="BD141" s="437"/>
      <c r="BE141" s="437"/>
      <c r="BF141" s="437"/>
      <c r="BG141" s="437"/>
      <c r="BH141" s="423"/>
    </row>
    <row r="142" spans="1:60" hidden="1">
      <c r="A142" s="113"/>
      <c r="B142" s="113"/>
      <c r="C142" s="449"/>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449"/>
      <c r="AF142" s="113"/>
      <c r="AG142" s="47">
        <v>2004</v>
      </c>
      <c r="AH142" s="47" t="s">
        <v>129</v>
      </c>
      <c r="AT142" s="113"/>
      <c r="AU142" s="113"/>
      <c r="AV142" s="113"/>
      <c r="AW142" s="113"/>
      <c r="AX142" s="113"/>
      <c r="AY142" s="437"/>
      <c r="AZ142" s="437"/>
      <c r="BA142" s="437"/>
      <c r="BB142" s="437"/>
      <c r="BC142" s="437"/>
      <c r="BD142" s="437"/>
      <c r="BE142" s="437"/>
      <c r="BF142" s="437"/>
      <c r="BG142" s="437"/>
      <c r="BH142" s="423"/>
    </row>
    <row r="143" spans="1:60">
      <c r="A143" s="113"/>
      <c r="B143" s="113"/>
      <c r="C143" s="449"/>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53"/>
      <c r="AG143" s="453">
        <v>2008</v>
      </c>
      <c r="AH143" s="453" t="s">
        <v>130</v>
      </c>
      <c r="AI143" s="453"/>
      <c r="AJ143" s="453"/>
      <c r="AK143" s="453"/>
      <c r="AL143" s="453"/>
      <c r="AM143" s="453"/>
      <c r="AN143" s="453"/>
      <c r="AO143" s="453"/>
      <c r="AP143" s="453"/>
      <c r="AQ143" s="453"/>
      <c r="AR143" s="453"/>
      <c r="AS143" s="453"/>
      <c r="AT143" s="453"/>
      <c r="AU143" s="453"/>
      <c r="AV143" s="453"/>
      <c r="AW143" s="453"/>
      <c r="AX143" s="453"/>
      <c r="AY143" s="453"/>
      <c r="AZ143" s="453"/>
      <c r="BA143" s="453"/>
      <c r="BB143" s="453"/>
      <c r="BC143" s="453"/>
      <c r="BD143" s="453"/>
      <c r="BE143" s="453"/>
      <c r="BF143" s="453"/>
      <c r="BG143" s="453"/>
      <c r="BH143" s="423"/>
    </row>
    <row r="144" spans="1:60">
      <c r="A144" s="113"/>
      <c r="B144" s="113"/>
      <c r="C144" s="113"/>
      <c r="D144" s="113"/>
      <c r="E144" s="113"/>
      <c r="F144" s="113"/>
      <c r="G144" s="113"/>
      <c r="H144" s="113"/>
      <c r="I144" s="113"/>
      <c r="J144" s="113"/>
      <c r="K144" s="113"/>
      <c r="L144" s="113"/>
      <c r="M144" s="520" t="s">
        <v>356</v>
      </c>
      <c r="N144" s="113"/>
      <c r="O144" s="113"/>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423"/>
    </row>
    <row r="145" spans="1:60" ht="13.8" thickBo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c r="AV145" s="113"/>
      <c r="AW145" s="113"/>
      <c r="AX145" s="113"/>
      <c r="AY145" s="113"/>
      <c r="AZ145" s="113"/>
      <c r="BA145" s="113"/>
      <c r="BB145" s="113"/>
      <c r="BC145" s="113"/>
      <c r="BD145" s="113"/>
      <c r="BE145" s="113"/>
      <c r="BF145" s="113"/>
      <c r="BG145" s="113"/>
      <c r="BH145" s="423"/>
    </row>
    <row r="146" spans="1:60" ht="13.8" thickBot="1">
      <c r="A146" s="113"/>
      <c r="B146" s="113"/>
      <c r="C146" s="881" t="str">
        <f t="shared" ref="C146:I146" si="0">C12</f>
        <v>EDAD LUNA 1 DE ENERO:</v>
      </c>
      <c r="D146" s="882"/>
      <c r="E146" s="882"/>
      <c r="F146" s="882"/>
      <c r="G146" s="521">
        <f t="shared" si="0"/>
        <v>20</v>
      </c>
      <c r="H146" s="522" t="str">
        <f t="shared" si="0"/>
        <v>LL</v>
      </c>
      <c r="I146" s="523">
        <f t="shared" si="0"/>
        <v>26</v>
      </c>
      <c r="J146" s="113"/>
      <c r="K146" s="113" t="s">
        <v>353</v>
      </c>
      <c r="L146" s="113"/>
      <c r="M146" s="113"/>
      <c r="N146" s="114">
        <f>IF(G12&gt;0,G12,"0")</f>
        <v>20</v>
      </c>
      <c r="O146" s="113"/>
      <c r="P146" s="113" t="s">
        <v>350</v>
      </c>
      <c r="Q146" s="113"/>
      <c r="R146" s="113"/>
      <c r="S146" s="113"/>
      <c r="T146" s="113"/>
      <c r="U146" s="113"/>
      <c r="V146" s="113"/>
      <c r="W146" s="113"/>
      <c r="X146" s="113"/>
      <c r="Y146" s="113"/>
      <c r="Z146" s="113"/>
      <c r="AA146" s="109" t="str">
        <f>luna!$I$37</f>
        <v>Luna Llena</v>
      </c>
      <c r="AB146" s="454"/>
      <c r="AC146" s="454"/>
      <c r="AD146" s="455"/>
      <c r="AE146" s="113"/>
      <c r="AF146" s="113" t="s">
        <v>351</v>
      </c>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423"/>
    </row>
    <row r="147" spans="1:60" ht="13.8" thickBot="1">
      <c r="A147" s="113"/>
      <c r="B147" s="113"/>
      <c r="C147" s="113"/>
      <c r="D147" s="113"/>
      <c r="E147" s="113"/>
      <c r="F147" s="113"/>
      <c r="G147" s="113"/>
      <c r="H147" s="113"/>
      <c r="I147" s="113"/>
      <c r="J147" s="113"/>
      <c r="K147" s="113" t="s">
        <v>353</v>
      </c>
      <c r="L147" s="113"/>
      <c r="M147" s="113"/>
      <c r="N147" s="422" t="str">
        <f>H146</f>
        <v>LL</v>
      </c>
      <c r="O147" s="524">
        <f>I146</f>
        <v>26</v>
      </c>
      <c r="P147" s="113" t="s">
        <v>354</v>
      </c>
      <c r="Q147" s="113"/>
      <c r="R147" s="113"/>
      <c r="S147" s="456"/>
      <c r="T147" s="113"/>
      <c r="U147" s="113"/>
      <c r="V147" s="113"/>
      <c r="W147" s="113"/>
      <c r="X147" s="113"/>
      <c r="Y147" s="113"/>
      <c r="Z147" s="113"/>
      <c r="AA147" s="113"/>
      <c r="AB147" s="113"/>
      <c r="AC147" s="113"/>
      <c r="AD147" s="113"/>
      <c r="AE147" s="113"/>
      <c r="AF147" s="113"/>
      <c r="AG147" s="113"/>
      <c r="AH147" s="804">
        <f>$O$147</f>
        <v>26</v>
      </c>
      <c r="AI147" s="805"/>
      <c r="AJ147" s="805"/>
      <c r="AK147" s="805"/>
      <c r="AL147" s="805"/>
      <c r="AM147" s="805"/>
      <c r="AN147" s="805"/>
      <c r="AO147" s="805"/>
      <c r="AP147" s="805"/>
      <c r="AQ147" s="805"/>
      <c r="AR147" s="805"/>
      <c r="AS147" s="805"/>
      <c r="AT147" s="805"/>
      <c r="AU147" s="805"/>
      <c r="AV147" s="805"/>
      <c r="AW147" s="805"/>
      <c r="AX147" s="805"/>
      <c r="AY147" s="806"/>
      <c r="AZ147" s="113" t="s">
        <v>352</v>
      </c>
      <c r="BA147" s="113"/>
      <c r="BB147" s="113"/>
      <c r="BC147" s="113" t="s">
        <v>355</v>
      </c>
      <c r="BD147" s="115">
        <f>O1</f>
        <v>2024</v>
      </c>
      <c r="BE147" s="113"/>
      <c r="BF147" s="113"/>
      <c r="BG147" s="113"/>
      <c r="BH147" s="423"/>
    </row>
    <row r="148" spans="1:60">
      <c r="A148" s="113"/>
      <c r="B148" s="113"/>
      <c r="C148" s="113"/>
      <c r="D148" s="113"/>
      <c r="E148" s="113"/>
      <c r="F148" s="113"/>
      <c r="G148" s="113"/>
      <c r="H148" s="113"/>
      <c r="I148" s="113"/>
      <c r="J148" s="113"/>
      <c r="K148" s="113" t="s">
        <v>359</v>
      </c>
      <c r="L148" s="113"/>
      <c r="M148" s="113"/>
      <c r="N148" s="113"/>
      <c r="O148" s="113"/>
      <c r="P148" s="113"/>
      <c r="Q148" s="113"/>
      <c r="R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423"/>
    </row>
  </sheetData>
  <customSheetViews>
    <customSheetView guid="{93FD35E9-1E2C-4BB9-BB5F-2E73C17EC4AF}" scale="95" showGridLines="0" showRowCol="0" outlineSymbols="0" zeroValues="0" hiddenRows="1" hiddenColumns="1">
      <selection activeCell="K19" sqref="K19"/>
      <pageMargins left="0.25" right="0.25" top="0.75" bottom="0.75" header="0.3" footer="0.3"/>
      <pageSetup paperSize="9" orientation="landscape" r:id="rId1"/>
      <headerFooter alignWithMargins="0"/>
    </customSheetView>
  </customSheetViews>
  <mergeCells count="100">
    <mergeCell ref="C13:I13"/>
    <mergeCell ref="K13:Q13"/>
    <mergeCell ref="C22:I22"/>
    <mergeCell ref="C4:I4"/>
    <mergeCell ref="BF1:BG1"/>
    <mergeCell ref="BF2:BG2"/>
    <mergeCell ref="AD1:AG2"/>
    <mergeCell ref="U1:AC2"/>
    <mergeCell ref="AJ20:AL20"/>
    <mergeCell ref="AL22:AM22"/>
    <mergeCell ref="AA22:AG22"/>
    <mergeCell ref="AJ14:AM14"/>
    <mergeCell ref="N1:N2"/>
    <mergeCell ref="I1:M2"/>
    <mergeCell ref="C1:H2"/>
    <mergeCell ref="O1:T2"/>
    <mergeCell ref="W32:X32"/>
    <mergeCell ref="K22:Q22"/>
    <mergeCell ref="P33:Q33"/>
    <mergeCell ref="T33:U33"/>
    <mergeCell ref="S32:T32"/>
    <mergeCell ref="K4:Q4"/>
    <mergeCell ref="S4:Y4"/>
    <mergeCell ref="AG32:AH32"/>
    <mergeCell ref="C146:F146"/>
    <mergeCell ref="G33:I33"/>
    <mergeCell ref="L33:N33"/>
    <mergeCell ref="C33:D33"/>
    <mergeCell ref="M35:N35"/>
    <mergeCell ref="C35:E35"/>
    <mergeCell ref="AE35:AF35"/>
    <mergeCell ref="S37:V37"/>
    <mergeCell ref="AA13:AG13"/>
    <mergeCell ref="F11:G11"/>
    <mergeCell ref="S22:Y22"/>
    <mergeCell ref="V33:W33"/>
    <mergeCell ref="X33:Y33"/>
    <mergeCell ref="AP35:AQ35"/>
    <mergeCell ref="AP34:AQ34"/>
    <mergeCell ref="F35:G35"/>
    <mergeCell ref="G34:H34"/>
    <mergeCell ref="W35:Y35"/>
    <mergeCell ref="AA35:AB35"/>
    <mergeCell ref="I34:J34"/>
    <mergeCell ref="BB37:BG38"/>
    <mergeCell ref="AZ31:BA32"/>
    <mergeCell ref="AZ33:BA34"/>
    <mergeCell ref="AZ35:BA36"/>
    <mergeCell ref="BB31:BG32"/>
    <mergeCell ref="BB33:BG34"/>
    <mergeCell ref="BB35:BG36"/>
    <mergeCell ref="AZ37:BA38"/>
    <mergeCell ref="AJ8:AK8"/>
    <mergeCell ref="AA12:AD12"/>
    <mergeCell ref="AA4:AG4"/>
    <mergeCell ref="S13:Y13"/>
    <mergeCell ref="AZ1:BC2"/>
    <mergeCell ref="AO11:AP11"/>
    <mergeCell ref="AC11:AF11"/>
    <mergeCell ref="U11:X11"/>
    <mergeCell ref="BD1:BE2"/>
    <mergeCell ref="AZ4:BB5"/>
    <mergeCell ref="BD3:BG3"/>
    <mergeCell ref="BD4:BG5"/>
    <mergeCell ref="AM29:AN29"/>
    <mergeCell ref="AZ15:BF16"/>
    <mergeCell ref="AZ13:BF14"/>
    <mergeCell ref="AZ6:BA6"/>
    <mergeCell ref="AZ10:BA10"/>
    <mergeCell ref="AZ8:BB9"/>
    <mergeCell ref="AM33:AN33"/>
    <mergeCell ref="AJ31:AK31"/>
    <mergeCell ref="AJ33:AK33"/>
    <mergeCell ref="AZ17:BF18"/>
    <mergeCell ref="AZ19:BF20"/>
    <mergeCell ref="AZ23:BF24"/>
    <mergeCell ref="AZ25:BF26"/>
    <mergeCell ref="AZ27:BF28"/>
    <mergeCell ref="AZ30:BG30"/>
    <mergeCell ref="AJ27:AK27"/>
    <mergeCell ref="AJ30:AK30"/>
    <mergeCell ref="AZ21:BF22"/>
    <mergeCell ref="AS28:AT28"/>
    <mergeCell ref="AS29:AT29"/>
    <mergeCell ref="AH147:AY147"/>
    <mergeCell ref="C3:I3"/>
    <mergeCell ref="K3:L3"/>
    <mergeCell ref="M3:N3"/>
    <mergeCell ref="AT33:AU33"/>
    <mergeCell ref="AJ21:AK21"/>
    <mergeCell ref="AJ22:AK22"/>
    <mergeCell ref="AJ23:AK23"/>
    <mergeCell ref="AP31:AQ31"/>
    <mergeCell ref="AL23:AM23"/>
    <mergeCell ref="AP30:AQ30"/>
    <mergeCell ref="AM30:AN30"/>
    <mergeCell ref="AS31:AT31"/>
    <mergeCell ref="AP27:AQ27"/>
    <mergeCell ref="AS30:AT30"/>
    <mergeCell ref="AJ28:AK28"/>
  </mergeCells>
  <phoneticPr fontId="24" type="noConversion"/>
  <conditionalFormatting sqref="C6:I7">
    <cfRule type="cellIs" dxfId="264" priority="13" stopIfTrue="1" operator="equal">
      <formula>1</formula>
    </cfRule>
    <cfRule type="cellIs" dxfId="263" priority="14" stopIfTrue="1" operator="equal">
      <formula>6</formula>
    </cfRule>
  </conditionalFormatting>
  <conditionalFormatting sqref="S24:Y24">
    <cfRule type="cellIs" dxfId="262" priority="15" stopIfTrue="1" operator="equal">
      <formula>1</formula>
    </cfRule>
  </conditionalFormatting>
  <conditionalFormatting sqref="AA24:AG29">
    <cfRule type="cellIs" dxfId="261" priority="6" stopIfTrue="1" operator="equal">
      <formula>6</formula>
    </cfRule>
    <cfRule type="cellIs" dxfId="260" priority="16" stopIfTrue="1" operator="equal">
      <formula>8</formula>
    </cfRule>
    <cfRule type="cellIs" dxfId="259" priority="17" stopIfTrue="1" operator="equal">
      <formula>25</formula>
    </cfRule>
  </conditionalFormatting>
  <conditionalFormatting sqref="C24:I24">
    <cfRule type="cellIs" dxfId="258" priority="19" stopIfTrue="1" operator="equal">
      <formula>8</formula>
    </cfRule>
  </conditionalFormatting>
  <conditionalFormatting sqref="K25:Q26">
    <cfRule type="cellIs" dxfId="257" priority="20" stopIfTrue="1" operator="equal">
      <formula>12</formula>
    </cfRule>
    <cfRule type="cellIs" dxfId="256" priority="21" stopIfTrue="1" operator="equal">
      <formula>9</formula>
    </cfRule>
  </conditionalFormatting>
  <conditionalFormatting sqref="S25:Y26">
    <cfRule type="cellIs" dxfId="255" priority="23" stopIfTrue="1" operator="equal">
      <formula>11</formula>
    </cfRule>
  </conditionalFormatting>
  <conditionalFormatting sqref="C16">
    <cfRule type="cellIs" dxfId="254" priority="40" stopIfTrue="1" operator="equal">
      <formula>$AJ$7</formula>
    </cfRule>
  </conditionalFormatting>
  <conditionalFormatting sqref="AA16:AG18">
    <cfRule type="cellIs" dxfId="253" priority="28" stopIfTrue="1" operator="equal">
      <formula>15</formula>
    </cfRule>
    <cfRule type="cellIs" dxfId="252" priority="29" stopIfTrue="1" operator="between">
      <formula>$AP$29</formula>
      <formula>$AP$33</formula>
    </cfRule>
  </conditionalFormatting>
  <conditionalFormatting sqref="AA15:AG15 AA19:AG20">
    <cfRule type="cellIs" dxfId="251" priority="30" stopIfTrue="1" operator="equal">
      <formula>15</formula>
    </cfRule>
  </conditionalFormatting>
  <conditionalFormatting sqref="W8:Y8 S9:V9">
    <cfRule type="cellIs" dxfId="250" priority="4" stopIfTrue="1" operator="equal">
      <formula>19</formula>
    </cfRule>
  </conditionalFormatting>
  <conditionalFormatting sqref="M6:M11">
    <cfRule type="cellIs" dxfId="249" priority="34" stopIfTrue="1" operator="equal">
      <formula>$AJ$10</formula>
    </cfRule>
  </conditionalFormatting>
  <conditionalFormatting sqref="U6:U7">
    <cfRule type="cellIs" dxfId="248" priority="35" stopIfTrue="1" operator="equal">
      <formula>$AJ$11</formula>
    </cfRule>
  </conditionalFormatting>
  <conditionalFormatting sqref="Y9:Y11">
    <cfRule type="cellIs" dxfId="247" priority="32" stopIfTrue="1" operator="equal">
      <formula>$AJ$1</formula>
    </cfRule>
  </conditionalFormatting>
  <conditionalFormatting sqref="W9:W10">
    <cfRule type="cellIs" dxfId="246" priority="36" stopIfTrue="1" operator="equal">
      <formula>$AK$1</formula>
    </cfRule>
  </conditionalFormatting>
  <conditionalFormatting sqref="AE6:AE9">
    <cfRule type="cellIs" dxfId="245" priority="39" stopIfTrue="1" operator="equal">
      <formula>$AK$2</formula>
    </cfRule>
  </conditionalFormatting>
  <conditionalFormatting sqref="AG6:AG9">
    <cfRule type="cellIs" dxfId="244" priority="11" stopIfTrue="1" operator="equal">
      <formula>$AJ$2</formula>
    </cfRule>
  </conditionalFormatting>
  <conditionalFormatting sqref="AA10:AG10 AA11">
    <cfRule type="cellIs" dxfId="243" priority="5" stopIfTrue="1" operator="equal">
      <formula>$AL$22</formula>
    </cfRule>
  </conditionalFormatting>
  <conditionalFormatting sqref="C15:I15">
    <cfRule type="cellIs" dxfId="242" priority="25" stopIfTrue="1" operator="equal">
      <formula>$AL$22</formula>
    </cfRule>
    <cfRule type="cellIs" dxfId="241" priority="26" stopIfTrue="1" operator="equal">
      <formula>1</formula>
    </cfRule>
  </conditionalFormatting>
  <conditionalFormatting sqref="I16:I19 N15">
    <cfRule type="cellIs" dxfId="240" priority="46" stopIfTrue="1" operator="equal">
      <formula>$U$32</formula>
    </cfRule>
  </conditionalFormatting>
  <conditionalFormatting sqref="I18:I19 N17">
    <cfRule type="cellIs" dxfId="239" priority="48" stopIfTrue="1" operator="equal">
      <formula>$F$34</formula>
    </cfRule>
  </conditionalFormatting>
  <conditionalFormatting sqref="Q15:Q16">
    <cfRule type="cellIs" dxfId="238" priority="58" stopIfTrue="1" operator="equal">
      <formula>$AI$31</formula>
    </cfRule>
  </conditionalFormatting>
  <conditionalFormatting sqref="F16:F19">
    <cfRule type="cellIs" dxfId="237" priority="64" stopIfTrue="1" operator="equal">
      <formula>$AM$31</formula>
    </cfRule>
  </conditionalFormatting>
  <conditionalFormatting sqref="S10:S11">
    <cfRule type="cellIs" dxfId="236" priority="33" stopIfTrue="1" operator="equal">
      <formula>$AI$1</formula>
    </cfRule>
  </conditionalFormatting>
  <conditionalFormatting sqref="S11">
    <cfRule type="cellIs" dxfId="235" priority="67" stopIfTrue="1" operator="equal">
      <formula>$AJ$5</formula>
    </cfRule>
  </conditionalFormatting>
  <conditionalFormatting sqref="W18:Y18 S19:V19">
    <cfRule type="cellIs" dxfId="234" priority="73" stopIfTrue="1" operator="equal">
      <formula>26</formula>
    </cfRule>
  </conditionalFormatting>
  <conditionalFormatting sqref="S8:Y10 S11:T11">
    <cfRule type="cellIs" dxfId="233" priority="69" stopIfTrue="1" operator="between">
      <formula>$AP$2</formula>
      <formula>$AP$3</formula>
    </cfRule>
  </conditionalFormatting>
  <conditionalFormatting sqref="AA6:AA10">
    <cfRule type="cellIs" dxfId="232" priority="71" stopIfTrue="1" operator="equal">
      <formula>$AI$2</formula>
    </cfRule>
    <cfRule type="cellIs" dxfId="231" priority="72" stopIfTrue="1" operator="equal">
      <formula>$AI$1</formula>
    </cfRule>
  </conditionalFormatting>
  <conditionalFormatting sqref="AA6:AG10">
    <cfRule type="cellIs" dxfId="230" priority="80" stopIfTrue="1" operator="between">
      <formula>$AR$2</formula>
      <formula>$AR$3</formula>
    </cfRule>
  </conditionalFormatting>
  <conditionalFormatting sqref="C15:I15 C16">
    <cfRule type="cellIs" dxfId="229" priority="65" operator="between">
      <formula>$AU$2</formula>
      <formula>$AU$3</formula>
    </cfRule>
  </conditionalFormatting>
  <conditionalFormatting sqref="F15:F19 I15:I19">
    <cfRule type="cellIs" dxfId="228" priority="51" stopIfTrue="1" operator="equal">
      <formula>$AI$30</formula>
    </cfRule>
  </conditionalFormatting>
  <conditionalFormatting sqref="I15:I19">
    <cfRule type="cellIs" dxfId="227" priority="44" stopIfTrue="1" operator="equal">
      <formula>$AJ$16</formula>
    </cfRule>
  </conditionalFormatting>
  <conditionalFormatting sqref="Q15:Q18">
    <cfRule type="cellIs" dxfId="226" priority="3" stopIfTrue="1" operator="equal">
      <formula>$AJ$17</formula>
    </cfRule>
  </conditionalFormatting>
  <conditionalFormatting sqref="Q15:Q19">
    <cfRule type="cellIs" dxfId="225" priority="59" stopIfTrue="1" operator="equal">
      <formula>$AM$32</formula>
    </cfRule>
  </conditionalFormatting>
  <conditionalFormatting sqref="AA6:AA11">
    <cfRule type="cellIs" dxfId="224" priority="41" stopIfTrue="1" operator="equal">
      <formula>$AJ$6</formula>
    </cfRule>
  </conditionalFormatting>
  <conditionalFormatting sqref="K6:K11">
    <cfRule type="cellIs" dxfId="223" priority="9" operator="equal">
      <formula>$AP$12</formula>
    </cfRule>
  </conditionalFormatting>
  <conditionalFormatting sqref="S6:S11">
    <cfRule type="cellIs" dxfId="222" priority="68" operator="equal">
      <formula>$AP$13</formula>
    </cfRule>
  </conditionalFormatting>
  <conditionalFormatting sqref="I15">
    <cfRule type="cellIs" dxfId="221" priority="7" operator="equal">
      <formula>$AL$23</formula>
    </cfRule>
  </conditionalFormatting>
  <conditionalFormatting sqref="AG24 AA25:AF25">
    <cfRule type="cellIs" dxfId="220" priority="18" operator="equal">
      <formula>7</formula>
    </cfRule>
  </conditionalFormatting>
  <conditionalFormatting sqref="AD6:AD10">
    <cfRule type="cellIs" dxfId="219" priority="38" operator="equal">
      <formula>$AP$5</formula>
    </cfRule>
  </conditionalFormatting>
  <conditionalFormatting sqref="V9:V10">
    <cfRule type="cellIs" dxfId="218" priority="8" operator="equal">
      <formula>$AO$5</formula>
    </cfRule>
  </conditionalFormatting>
  <conditionalFormatting sqref="Q15:Q19 S15">
    <cfRule type="cellIs" dxfId="217" priority="60" operator="equal">
      <formula>$AL$34</formula>
    </cfRule>
  </conditionalFormatting>
  <conditionalFormatting sqref="I8">
    <cfRule type="cellIs" dxfId="216" priority="1" stopIfTrue="1" operator="equal">
      <formula>1</formula>
    </cfRule>
    <cfRule type="cellIs" dxfId="215" priority="2" stopIfTrue="1" operator="equal">
      <formula>6</formula>
    </cfRule>
  </conditionalFormatting>
  <hyperlinks>
    <hyperlink ref="C4:I4" location="ENERO!A1" display="ENERO"/>
    <hyperlink ref="K4:Q4" location="FEBRERO!A1" display="FEBRERO"/>
    <hyperlink ref="S4:Y4" location="MARZO!A1" display="MARZO"/>
    <hyperlink ref="AA4:AG4" location="ABRIL!A1" display="ABRIL"/>
    <hyperlink ref="C13:I13" location="MAYO!A1" display="MAYO"/>
    <hyperlink ref="K13:Q13" location="JUNIO!A1" display="JUNIO"/>
    <hyperlink ref="S13:Y13" location="JULIO!A1" display="JULIO"/>
    <hyperlink ref="AA13:AG13" location="AGOSTO!A1" display="AGOSTO"/>
    <hyperlink ref="C22:I22" location="SEPTIEMBRE!A1" display="SEPTIEMBRE"/>
    <hyperlink ref="K22:Q22" location="OCTUBRE!A1" display="OCTUBRE"/>
    <hyperlink ref="S22:Y22" location="NOVIEMBRE!A1" display="NOVIEMBRE"/>
    <hyperlink ref="AA22:AG22" location="DICIEMBRE!A1" display="DICIEMBRE"/>
    <hyperlink ref="AD1:AG2" location="PORTADA!A1" display="IR A PORTADA"/>
  </hyperlinks>
  <pageMargins left="0.25" right="0.25" top="0.75" bottom="0.75" header="0.3" footer="0.3"/>
  <pageSetup paperSize="9" orientation="landscape" r:id="rId2"/>
  <headerFooter alignWithMargins="0"/>
  <drawing r:id="rId3"/>
  <legacyDrawing r:id="rId4"/>
  <controls>
    <control shapeId="2050" r:id="rId5" name="ScrollBar1"/>
  </controls>
</worksheet>
</file>

<file path=xl/worksheets/sheet5.xml><?xml version="1.0" encoding="utf-8"?>
<worksheet xmlns="http://schemas.openxmlformats.org/spreadsheetml/2006/main" xmlns:r="http://schemas.openxmlformats.org/officeDocument/2006/relationships">
  <sheetPr codeName="Hoja4">
    <pageSetUpPr autoPageBreaks="0" fitToPage="1"/>
  </sheetPr>
  <dimension ref="A1:BN232"/>
  <sheetViews>
    <sheetView showGridLines="0" showZeros="0" showOutlineSymbols="0" topLeftCell="A33" workbookViewId="0">
      <selection activeCell="BD41" sqref="BD41"/>
    </sheetView>
  </sheetViews>
  <sheetFormatPr baseColWidth="10" defaultColWidth="4.5546875" defaultRowHeight="12.75" customHeight="1"/>
  <cols>
    <col min="1" max="1" width="4.5546875" style="319"/>
    <col min="2" max="2" width="4.5546875" style="457"/>
    <col min="3" max="12" width="4.5546875" style="1"/>
    <col min="13" max="13" width="4.5546875" style="457"/>
    <col min="14" max="14" width="4.5546875" style="319"/>
    <col min="15" max="15" width="4.5546875" style="458"/>
    <col min="16" max="25" width="4.5546875" style="1"/>
    <col min="26" max="26" width="4.5546875" style="611"/>
    <col min="27" max="43" width="4.5546875" style="3" hidden="1" customWidth="1"/>
    <col min="44" max="46" width="4.5546875" style="4" hidden="1" customWidth="1"/>
    <col min="47" max="53" width="4.5546875" style="1" hidden="1" customWidth="1"/>
    <col min="54" max="66" width="4.5546875" style="1" customWidth="1"/>
    <col min="67" max="16384" width="4.5546875" style="1"/>
  </cols>
  <sheetData>
    <row r="1" spans="1:52" ht="13.8" customHeight="1" thickBot="1">
      <c r="W1" s="969">
        <f ca="1">NOW()</f>
        <v>45284.802716666665</v>
      </c>
      <c r="X1" s="970"/>
      <c r="Y1" s="970"/>
      <c r="AR1" s="208"/>
      <c r="AS1" s="230" t="s">
        <v>796</v>
      </c>
      <c r="AT1" s="208"/>
      <c r="AU1" s="209"/>
      <c r="AV1" s="209" t="str">
        <f>VLOOKUP(AC6,AR1:AT8,3)</f>
        <v>A</v>
      </c>
      <c r="AW1" s="209" t="str">
        <f>IF(AI11=1,AY2,AV2)</f>
        <v>GF</v>
      </c>
    </row>
    <row r="2" spans="1:52" ht="28.2" customHeight="1" thickBot="1">
      <c r="D2" s="975" t="s">
        <v>937</v>
      </c>
      <c r="E2" s="976"/>
      <c r="F2" s="976"/>
      <c r="G2" s="976"/>
      <c r="H2" s="976"/>
      <c r="I2" s="976"/>
      <c r="J2" s="976"/>
      <c r="K2" s="976"/>
      <c r="L2" s="976"/>
      <c r="M2" s="976"/>
      <c r="N2" s="976"/>
      <c r="O2" s="976"/>
      <c r="P2" s="976"/>
      <c r="Q2" s="976"/>
      <c r="R2" s="976"/>
      <c r="S2" s="976"/>
      <c r="T2" s="976"/>
      <c r="U2" s="977"/>
      <c r="W2" s="978">
        <f>VALUE(W4)</f>
        <v>2024</v>
      </c>
      <c r="X2" s="978"/>
      <c r="Y2" s="978"/>
      <c r="Z2" s="612"/>
      <c r="AA2" s="728" t="s">
        <v>4</v>
      </c>
      <c r="AB2" s="952"/>
      <c r="AC2" s="952"/>
      <c r="AD2" s="6"/>
      <c r="AE2" s="728" t="str">
        <f>IF(AL3=0,"DEL 4 DE OCTUBRE SE PASÓ AL 15"," ")</f>
        <v xml:space="preserve"> </v>
      </c>
      <c r="AF2" s="952"/>
      <c r="AG2" s="952"/>
      <c r="AH2" s="924"/>
      <c r="AI2" s="924"/>
      <c r="AJ2" s="924"/>
      <c r="AK2" s="6"/>
      <c r="AL2" s="6"/>
      <c r="AM2" s="6"/>
      <c r="AN2" s="6"/>
      <c r="AO2" s="6"/>
      <c r="AR2" s="231">
        <v>0</v>
      </c>
      <c r="AS2" s="231">
        <v>25</v>
      </c>
      <c r="AT2" s="231" t="s">
        <v>797</v>
      </c>
      <c r="AU2" s="231">
        <v>6</v>
      </c>
      <c r="AV2" s="209" t="str">
        <f>VLOOKUP(AC7,AR2:AT9,3)</f>
        <v>G</v>
      </c>
      <c r="AW2" s="209" t="str">
        <f>AT2</f>
        <v>A</v>
      </c>
      <c r="AX2" s="209" t="s">
        <v>803</v>
      </c>
      <c r="AY2" s="209" t="str">
        <f>VLOOKUP(AV2,AW2:AX9,2,)</f>
        <v>GF</v>
      </c>
      <c r="AZ2" s="209" t="str">
        <f>RIGHT(AY2,1)</f>
        <v>F</v>
      </c>
    </row>
    <row r="3" spans="1:52" ht="9.6" customHeight="1" thickBot="1">
      <c r="Z3" s="612"/>
      <c r="AA3" s="6"/>
      <c r="AB3" s="6"/>
      <c r="AC3" s="6"/>
      <c r="AD3" s="6"/>
      <c r="AE3" s="6"/>
      <c r="AF3" s="6"/>
      <c r="AG3" s="6"/>
      <c r="AH3" s="6"/>
      <c r="AI3" s="6"/>
      <c r="AJ3" s="6"/>
      <c r="AK3" s="6"/>
      <c r="AL3" s="11">
        <f>1582-AE4</f>
        <v>-442</v>
      </c>
      <c r="AM3" s="6"/>
      <c r="AN3" s="6"/>
      <c r="AO3" s="6"/>
      <c r="AP3" s="3" t="s">
        <v>795</v>
      </c>
      <c r="AR3" s="232">
        <v>1</v>
      </c>
      <c r="AS3" s="232">
        <v>31</v>
      </c>
      <c r="AT3" s="232" t="s">
        <v>798</v>
      </c>
      <c r="AU3" s="232">
        <v>0</v>
      </c>
      <c r="AV3" s="209">
        <v>7</v>
      </c>
      <c r="AW3" s="209" t="str">
        <f>AT8</f>
        <v>B</v>
      </c>
      <c r="AX3" s="209" t="s">
        <v>804</v>
      </c>
    </row>
    <row r="4" spans="1:52" ht="20.25" customHeight="1" thickTop="1" thickBot="1">
      <c r="B4" s="678"/>
      <c r="C4"/>
      <c r="D4" s="979" t="s">
        <v>26</v>
      </c>
      <c r="E4" s="980"/>
      <c r="F4" s="980"/>
      <c r="G4" s="980"/>
      <c r="H4" s="980"/>
      <c r="I4" s="980"/>
      <c r="J4" s="980"/>
      <c r="K4" s="980"/>
      <c r="L4" s="980"/>
      <c r="M4" s="980"/>
      <c r="N4" s="980"/>
      <c r="O4" s="980"/>
      <c r="P4" s="980"/>
      <c r="Q4" s="981"/>
      <c r="R4" s="982">
        <f>$AE$4</f>
        <v>2024</v>
      </c>
      <c r="S4" s="983"/>
      <c r="T4" s="983"/>
      <c r="U4" s="984"/>
      <c r="W4" s="985">
        <f>año!$O$1</f>
        <v>2024</v>
      </c>
      <c r="X4" s="986"/>
      <c r="Y4" s="987"/>
      <c r="Z4" s="613">
        <f ca="1">AA4-AF10</f>
        <v>357</v>
      </c>
      <c r="AA4" s="988">
        <f ca="1">TODAY()</f>
        <v>45284</v>
      </c>
      <c r="AB4" s="952"/>
      <c r="AC4" s="952"/>
      <c r="AD4" s="6"/>
      <c r="AE4" s="729">
        <f>IF(VALUE(W4)&gt;0,W4,IF(W4=" ",YEAR(AA4)," "))</f>
        <v>2024</v>
      </c>
      <c r="AF4" s="730"/>
      <c r="AG4" s="93">
        <f>AH4/4</f>
        <v>506</v>
      </c>
      <c r="AH4" s="733">
        <f>IF(AE5=FALSE,VALUE(AE4),"c")</f>
        <v>2024</v>
      </c>
      <c r="AI4" s="998"/>
      <c r="AJ4" s="93">
        <f>INT(AH4/4)</f>
        <v>506</v>
      </c>
      <c r="AK4" s="6"/>
      <c r="AL4" s="9"/>
      <c r="AM4" s="6"/>
      <c r="AN4" s="6"/>
      <c r="AO4" s="6"/>
      <c r="AP4" s="229" t="str">
        <f ca="1">AK5</f>
        <v>01/01/2023</v>
      </c>
      <c r="AR4" s="232">
        <v>2</v>
      </c>
      <c r="AS4" s="232">
        <v>30</v>
      </c>
      <c r="AT4" s="232" t="s">
        <v>799</v>
      </c>
      <c r="AU4" s="232">
        <v>1</v>
      </c>
      <c r="AV4" s="209">
        <v>1</v>
      </c>
      <c r="AW4" s="209" t="str">
        <f>AT7</f>
        <v>C</v>
      </c>
      <c r="AX4" s="209" t="s">
        <v>805</v>
      </c>
    </row>
    <row r="5" spans="1:52" ht="11.25" customHeight="1" thickBot="1">
      <c r="F5" s="10"/>
      <c r="V5" s="974"/>
      <c r="W5" s="974"/>
      <c r="Z5" s="612"/>
      <c r="AA5" s="733">
        <f ca="1">YEAR(AA4)</f>
        <v>2023</v>
      </c>
      <c r="AB5" s="733"/>
      <c r="AC5" s="733">
        <f ca="1">IF(Z4&lt;0,AA5-1,AA5)</f>
        <v>2023</v>
      </c>
      <c r="AD5" s="728"/>
      <c r="AE5" s="116" t="b">
        <f>ISERROR(W2)</f>
        <v>0</v>
      </c>
      <c r="AF5" s="26">
        <f>MOD(AH4,400)</f>
        <v>24</v>
      </c>
      <c r="AG5" s="11">
        <f>IF(W4+0&gt;1582,MOD(AH4,100),1)</f>
        <v>24</v>
      </c>
      <c r="AH5" s="6"/>
      <c r="AI5" s="11">
        <f>MOD(AE4,4)</f>
        <v>0</v>
      </c>
      <c r="AJ5" s="6"/>
      <c r="AK5" s="995" t="str">
        <f ca="1">$AF$9</f>
        <v>01/01/2023</v>
      </c>
      <c r="AL5" s="996"/>
      <c r="AM5" s="996"/>
      <c r="AN5" s="997"/>
      <c r="AO5" s="36"/>
      <c r="AR5" s="232">
        <v>3</v>
      </c>
      <c r="AS5" s="232">
        <v>29</v>
      </c>
      <c r="AT5" s="232" t="s">
        <v>800</v>
      </c>
      <c r="AU5" s="232">
        <v>2</v>
      </c>
      <c r="AV5" s="209">
        <v>2</v>
      </c>
      <c r="AW5" s="209" t="str">
        <f>AT6</f>
        <v>D</v>
      </c>
      <c r="AX5" s="209" t="s">
        <v>806</v>
      </c>
    </row>
    <row r="6" spans="1:52" ht="15.75" customHeight="1" thickBot="1">
      <c r="B6" s="965" t="s">
        <v>895</v>
      </c>
      <c r="C6" s="966"/>
      <c r="D6" s="966"/>
      <c r="E6" s="966"/>
      <c r="F6" s="966"/>
      <c r="G6" s="966"/>
      <c r="H6" s="966"/>
      <c r="I6" s="966"/>
      <c r="J6" s="966"/>
      <c r="K6" s="967"/>
      <c r="L6" s="968"/>
      <c r="O6" s="965" t="s">
        <v>896</v>
      </c>
      <c r="P6" s="966"/>
      <c r="Q6" s="966"/>
      <c r="R6" s="966"/>
      <c r="S6" s="966"/>
      <c r="T6" s="966"/>
      <c r="U6" s="966"/>
      <c r="V6" s="966"/>
      <c r="W6" s="966"/>
      <c r="X6" s="967"/>
      <c r="Y6" s="968"/>
      <c r="Z6" s="612"/>
      <c r="AA6" s="728" t="s">
        <v>5</v>
      </c>
      <c r="AB6" s="728"/>
      <c r="AC6" s="728"/>
      <c r="AD6" s="6"/>
      <c r="AE6" s="728"/>
      <c r="AF6" s="728"/>
      <c r="AG6" s="728"/>
      <c r="AH6" s="6" t="str">
        <f>RIGHT(AH4,2)</f>
        <v>24</v>
      </c>
      <c r="AI6" s="733">
        <f>AE4-1900</f>
        <v>124</v>
      </c>
      <c r="AJ6" s="734"/>
      <c r="AK6" s="728" t="s">
        <v>107</v>
      </c>
      <c r="AL6" s="930"/>
      <c r="AM6" s="930"/>
      <c r="AN6" s="930"/>
      <c r="AO6" s="38"/>
      <c r="AR6" s="232">
        <v>4</v>
      </c>
      <c r="AS6" s="232">
        <v>28</v>
      </c>
      <c r="AT6" s="232" t="s">
        <v>15</v>
      </c>
      <c r="AU6" s="232">
        <v>3</v>
      </c>
      <c r="AV6" s="209">
        <v>3</v>
      </c>
      <c r="AW6" s="209" t="str">
        <f>AT5</f>
        <v>E</v>
      </c>
      <c r="AX6" s="209" t="s">
        <v>807</v>
      </c>
    </row>
    <row r="7" spans="1:52" ht="12" customHeight="1" thickBot="1">
      <c r="Z7" s="612"/>
      <c r="AA7" s="931">
        <f>IF(AN48=1,AF15,"01/01 ")</f>
        <v>45292</v>
      </c>
      <c r="AB7" s="931"/>
      <c r="AC7" s="12">
        <f>MOD(AL33,7)</f>
        <v>1</v>
      </c>
      <c r="AD7" s="6" t="s">
        <v>35</v>
      </c>
      <c r="AE7" s="3" t="str">
        <f>VLOOKUP(AC7,$AL$20:$AM$27,2)</f>
        <v>Lunes</v>
      </c>
      <c r="AF7" s="964" t="s">
        <v>27</v>
      </c>
      <c r="AG7" s="732"/>
      <c r="AH7" s="732"/>
      <c r="AI7" s="6">
        <f>IF(AH4&lt;1583,INT(AH4/100)-INT(AH4/400),9)</f>
        <v>9</v>
      </c>
      <c r="AJ7" s="6"/>
      <c r="AL7" s="39"/>
      <c r="AM7" s="39"/>
      <c r="AN7" s="39"/>
      <c r="AO7" s="39"/>
      <c r="AP7" s="6"/>
      <c r="AR7" s="232">
        <v>5</v>
      </c>
      <c r="AS7" s="232">
        <v>27</v>
      </c>
      <c r="AT7" s="232" t="s">
        <v>801</v>
      </c>
      <c r="AU7" s="232">
        <v>4</v>
      </c>
      <c r="AV7" s="209">
        <v>4</v>
      </c>
      <c r="AW7" s="209" t="str">
        <f>AT4</f>
        <v>F</v>
      </c>
      <c r="AX7" s="209" t="s">
        <v>808</v>
      </c>
    </row>
    <row r="8" spans="1:52" ht="14.25" customHeight="1" thickBot="1">
      <c r="B8" s="679" t="s">
        <v>3</v>
      </c>
      <c r="C8" s="671" t="s">
        <v>28</v>
      </c>
      <c r="D8" s="672" t="s">
        <v>20</v>
      </c>
      <c r="E8" s="672" t="s">
        <v>17</v>
      </c>
      <c r="F8" s="672" t="s">
        <v>29</v>
      </c>
      <c r="G8" s="672" t="s">
        <v>24</v>
      </c>
      <c r="H8" s="672" t="s">
        <v>12</v>
      </c>
      <c r="I8" s="673" t="s">
        <v>7</v>
      </c>
      <c r="J8" s="674" t="s">
        <v>15</v>
      </c>
      <c r="K8" s="675" t="s">
        <v>30</v>
      </c>
      <c r="L8" s="676" t="s">
        <v>30</v>
      </c>
      <c r="N8" s="677"/>
      <c r="O8" s="670" t="s">
        <v>3</v>
      </c>
      <c r="P8" s="671" t="s">
        <v>28</v>
      </c>
      <c r="Q8" s="672" t="s">
        <v>20</v>
      </c>
      <c r="R8" s="672" t="s">
        <v>17</v>
      </c>
      <c r="S8" s="672" t="s">
        <v>29</v>
      </c>
      <c r="T8" s="672" t="s">
        <v>24</v>
      </c>
      <c r="U8" s="672" t="s">
        <v>12</v>
      </c>
      <c r="V8" s="673" t="s">
        <v>7</v>
      </c>
      <c r="W8" s="674" t="s">
        <v>15</v>
      </c>
      <c r="X8" s="675" t="s">
        <v>30</v>
      </c>
      <c r="Y8" s="676" t="s">
        <v>30</v>
      </c>
      <c r="Z8" s="612"/>
      <c r="AA8" s="931">
        <f>IF(AN48=1,AA7+31,"01/02 ")</f>
        <v>45323</v>
      </c>
      <c r="AB8" s="931"/>
      <c r="AC8" s="12">
        <f>MOD(AC7+31,7)</f>
        <v>4</v>
      </c>
      <c r="AD8" s="6" t="s">
        <v>34</v>
      </c>
      <c r="AE8" s="3" t="str">
        <f t="shared" ref="AE8:AE18" si="0">VLOOKUP(AC8,$AL$20:$AM$27,2)</f>
        <v>Jueves</v>
      </c>
      <c r="AF8" s="964" t="s">
        <v>6</v>
      </c>
      <c r="AG8" s="732"/>
      <c r="AH8" s="732"/>
      <c r="AI8" s="6"/>
      <c r="AJ8" s="13"/>
      <c r="AK8" s="733" t="s">
        <v>108</v>
      </c>
      <c r="AL8" s="728"/>
      <c r="AM8" s="37" t="str">
        <f ca="1">LEFT(AK5,2)</f>
        <v>01</v>
      </c>
      <c r="AN8" s="6">
        <f ca="1">VALUE(AM8)</f>
        <v>1</v>
      </c>
      <c r="AO8" s="6"/>
      <c r="AP8" s="13"/>
      <c r="AR8" s="232">
        <v>6</v>
      </c>
      <c r="AS8" s="232">
        <v>26</v>
      </c>
      <c r="AT8" s="232" t="s">
        <v>802</v>
      </c>
      <c r="AU8" s="232">
        <v>5</v>
      </c>
      <c r="AV8" s="209">
        <v>5</v>
      </c>
      <c r="AW8" s="209" t="str">
        <f>AT3</f>
        <v>G</v>
      </c>
      <c r="AX8" s="209" t="s">
        <v>809</v>
      </c>
    </row>
    <row r="9" spans="1:52" ht="11.25" customHeight="1" thickBot="1">
      <c r="I9" s="28"/>
      <c r="L9" s="15"/>
      <c r="P9" s="16"/>
      <c r="R9" s="960"/>
      <c r="S9" s="961"/>
      <c r="T9" s="961"/>
      <c r="U9" s="17"/>
      <c r="Z9" s="612"/>
      <c r="AA9" s="931">
        <f>IF(AN48=1,AI9,"01/03")</f>
        <v>45352</v>
      </c>
      <c r="AB9" s="931"/>
      <c r="AC9" s="12">
        <f>MOD(AC8+28+AI11,7)</f>
        <v>5</v>
      </c>
      <c r="AD9" s="6" t="s">
        <v>36</v>
      </c>
      <c r="AE9" s="3" t="str">
        <f t="shared" si="0"/>
        <v>Viernes</v>
      </c>
      <c r="AF9" s="962" t="str">
        <f ca="1">CONCATENATE(AF7,AA5)</f>
        <v>01/01/2023</v>
      </c>
      <c r="AG9" s="732"/>
      <c r="AH9" s="732"/>
      <c r="AI9" s="963">
        <f>IF($AI$11=1,$AA$8+29,IF(AI6=0,$AA$8+29,$AA$8+28))</f>
        <v>45352</v>
      </c>
      <c r="AJ9" s="963"/>
      <c r="AK9" s="931" t="s">
        <v>3</v>
      </c>
      <c r="AL9" s="931"/>
      <c r="AM9" s="3" t="str">
        <f ca="1">MID(AK5,4,2)</f>
        <v>01</v>
      </c>
      <c r="AN9" s="6">
        <f ca="1">VALUE(AM9)</f>
        <v>1</v>
      </c>
      <c r="AO9" s="728" t="str">
        <f ca="1">VLOOKUP(AN9,AP21:AU32,6)</f>
        <v>Enero</v>
      </c>
      <c r="AP9" s="924"/>
      <c r="AQ9" s="924"/>
      <c r="AR9" s="232">
        <v>7</v>
      </c>
      <c r="AS9" s="232">
        <v>25</v>
      </c>
      <c r="AT9" s="232" t="s">
        <v>797</v>
      </c>
      <c r="AU9" s="232">
        <v>6</v>
      </c>
      <c r="AV9" s="209">
        <v>6</v>
      </c>
      <c r="AW9" s="209" t="str">
        <f>AT2</f>
        <v>A</v>
      </c>
      <c r="AX9" s="209" t="s">
        <v>803</v>
      </c>
    </row>
    <row r="10" spans="1:52" ht="12.75" customHeight="1">
      <c r="B10" s="951" t="s">
        <v>50</v>
      </c>
      <c r="C10" s="530">
        <v>1</v>
      </c>
      <c r="D10" s="531">
        <f>IF($AC$7=1,1," ")</f>
        <v>1</v>
      </c>
      <c r="E10" s="531">
        <f>IF($AC$7=2,1,IF(D10=1,D10+1," "))</f>
        <v>2</v>
      </c>
      <c r="F10" s="531">
        <f>IF($AC$7=3,1,IF(D10=1,D10+2,IF(E10=1,E10+1," ")))</f>
        <v>3</v>
      </c>
      <c r="G10" s="531">
        <f>IF($AC$7=4,1,IF($D10=1,$D10+3,IF($E10=1,$E10+2,IF($F10=1,$F10+1," "))))</f>
        <v>4</v>
      </c>
      <c r="H10" s="531">
        <f>IF($AC$7=5,1,IF($D10=1,$D10+4,IF($E10=1,$E10+3,IF($F10=1,$F10+2,IF($G10=1,$G10+1," ")))))</f>
        <v>5</v>
      </c>
      <c r="I10" s="531">
        <f>IF($AC$7=6,1,IF($D10=1,$D10+5,IF($E10=1,$E10+4,IF($F10=1,$F10+3,IF($G10=1,$G10+2,IF($H10=1,H10+1," "))))))</f>
        <v>6</v>
      </c>
      <c r="J10" s="532">
        <f>IF($AC$7=0,1,IF($D10=1,$D10+6,IF($E10=1,$E10+5,IF($F10=1,$F10+4,IF($G10=1,$G10+3,IF($H10=1,$H10+2,IF($I10=1,$I10+1," ")))))))</f>
        <v>7</v>
      </c>
      <c r="K10" s="533">
        <f>IF(DAY(MAX(D10:J10))&lt;&gt;0,NETWORKDAYS(DATE($W$4,$A$14,1),DATE($W$4,$A$14,DAY(MAX(D10:J10))),$D$68:$D$92),0)</f>
        <v>4</v>
      </c>
      <c r="L10" s="534">
        <f>IF(DAY(MAX(D10:J10))&lt;&gt;0,NETWORKDAYS(DATE($W$4,$A$14,1),DATE($W$4,$A$14,DAY(MAX(D10:J10))),$A$101:$A$231),0)</f>
        <v>0</v>
      </c>
      <c r="M10" s="1031" t="s">
        <v>930</v>
      </c>
      <c r="N10" s="322"/>
      <c r="O10" s="934" t="s">
        <v>55</v>
      </c>
      <c r="P10" s="530">
        <f>IF(Q10&lt;&gt;" ",C45+1,C45)</f>
        <v>27</v>
      </c>
      <c r="Q10" s="535">
        <f>IF($AC$13=1,1," ")</f>
        <v>1</v>
      </c>
      <c r="R10" s="535">
        <f>IF($AC$13=2,1,IF(Q10=1,Q10+1," "))</f>
        <v>2</v>
      </c>
      <c r="S10" s="535">
        <f>IF($AC$13=3,1,IF(Q10=1,Q10+2,IF(R10=1,R10+1," ")))</f>
        <v>3</v>
      </c>
      <c r="T10" s="535">
        <f>IF($AC$13=4,1,IF($Q10=1,$Q10+3,IF($R10=1,$R10+2,IF($S10=1,$S10+1," "))))</f>
        <v>4</v>
      </c>
      <c r="U10" s="535">
        <f>IF($AC$13=5,1,IF($Q10=1,$Q10+4,IF($R10=1,$R10+3,IF($S10=1,$S10+2,IF($T10=1,$T10+1," ")))))</f>
        <v>5</v>
      </c>
      <c r="V10" s="535">
        <f>IF($AC$13=6,1,IF($Q10=1,$Q10+5,IF($R10=1,$R10+4,IF($S10=1,$S10+3,IF($T10=1,$T10+2,IF($U10=1,U10+1," "))))))</f>
        <v>6</v>
      </c>
      <c r="W10" s="536">
        <f>IF($AC$13=0,1,IF($Q10=1,$Q10+6,IF($R10=1,$R10+5,IF($S10=1,$S10+4,IF($T10=1,$T10+3,IF($U10=1,$U10+2,IF($V10=1,$V10+1," ")))))))</f>
        <v>7</v>
      </c>
      <c r="X10" s="533">
        <f>IF(DAY(MAX(Q10:W10))&lt;&gt;0,NETWORKDAYS(DATE($W$4,$N14,1),DATE($W$4,$N14,DAY(MAX(Q10:W10))),$D$68:$D$92),0)</f>
        <v>5</v>
      </c>
      <c r="Y10" s="534">
        <f>IF(DAY(MAX(Q10:W10))&lt;&gt;0,NETWORKDAYS(DATE($W$4,$N$14,1),DATE($W$4,$N$14,DAY(MAX(Q10:W10))),$A$101:$A$231),0)</f>
        <v>0</v>
      </c>
      <c r="Z10" s="1031" t="s">
        <v>930</v>
      </c>
      <c r="AA10" s="931">
        <f>IF(AN48=1,AA9+31,"01/04 ")</f>
        <v>45383</v>
      </c>
      <c r="AB10" s="931"/>
      <c r="AC10" s="12">
        <f>MOD(AC9+31,7)</f>
        <v>1</v>
      </c>
      <c r="AD10" s="6" t="s">
        <v>37</v>
      </c>
      <c r="AE10" s="3" t="str">
        <f t="shared" si="0"/>
        <v>Lunes</v>
      </c>
      <c r="AF10" s="931">
        <f ca="1">DATEVALUE(AF9)</f>
        <v>44927</v>
      </c>
      <c r="AG10" s="732"/>
      <c r="AH10" s="732"/>
      <c r="AI10" s="6"/>
      <c r="AJ10" s="6"/>
      <c r="AK10" s="728" t="s">
        <v>109</v>
      </c>
      <c r="AL10" s="728"/>
      <c r="AM10" s="6" t="str">
        <f ca="1">RIGHT(AK5,4)</f>
        <v>2023</v>
      </c>
      <c r="AN10" s="6">
        <f ca="1">VALUE(AM10)</f>
        <v>2023</v>
      </c>
      <c r="AO10" s="6"/>
      <c r="AP10" s="13"/>
      <c r="AR10" s="3"/>
      <c r="AU10" s="4"/>
    </row>
    <row r="11" spans="1:52" ht="12.75" customHeight="1">
      <c r="B11" s="941"/>
      <c r="C11" s="537">
        <f>C10+1</f>
        <v>2</v>
      </c>
      <c r="D11" s="538">
        <f>J10+1</f>
        <v>8</v>
      </c>
      <c r="E11" s="538">
        <f t="shared" ref="E11:J13" si="1">D11+1</f>
        <v>9</v>
      </c>
      <c r="F11" s="538">
        <f t="shared" si="1"/>
        <v>10</v>
      </c>
      <c r="G11" s="538">
        <f t="shared" si="1"/>
        <v>11</v>
      </c>
      <c r="H11" s="538">
        <f t="shared" si="1"/>
        <v>12</v>
      </c>
      <c r="I11" s="538">
        <f t="shared" si="1"/>
        <v>13</v>
      </c>
      <c r="J11" s="539">
        <f t="shared" si="1"/>
        <v>14</v>
      </c>
      <c r="K11" s="540">
        <f>IF(DAY(MAX(D11:J11))&lt;&gt;0,NETWORKDAYS(DATE($W$4,$A$14,DAY(D11)),DATE($W$4,$A$14,DAY(MAX(D11:J11))),$D$68:$D$92),0)</f>
        <v>5</v>
      </c>
      <c r="L11" s="541">
        <f>IF(DAY(MAX(D11:J11))&lt;&gt;0,NETWORKDAYS(DATE($W$4,$A$14,DAY(D11)),DATE($W$4,$A$14,DAY(MAX(D11:J11))),$A$101:$A$231),0)</f>
        <v>5</v>
      </c>
      <c r="M11" s="1032"/>
      <c r="N11" s="322"/>
      <c r="O11" s="935"/>
      <c r="P11" s="537">
        <f>P10+1</f>
        <v>28</v>
      </c>
      <c r="Q11" s="542">
        <f>W10+1</f>
        <v>8</v>
      </c>
      <c r="R11" s="542">
        <f t="shared" ref="R11:W13" si="2">Q11+1</f>
        <v>9</v>
      </c>
      <c r="S11" s="542">
        <f t="shared" si="2"/>
        <v>10</v>
      </c>
      <c r="T11" s="542">
        <f t="shared" si="2"/>
        <v>11</v>
      </c>
      <c r="U11" s="542">
        <f t="shared" si="2"/>
        <v>12</v>
      </c>
      <c r="V11" s="542">
        <f t="shared" si="2"/>
        <v>13</v>
      </c>
      <c r="W11" s="543">
        <f t="shared" si="2"/>
        <v>14</v>
      </c>
      <c r="X11" s="540">
        <f>IF(DAY(MAX(Q11:W11))&lt;&gt;0,NETWORKDAYS(DATE($W$4,$N14,DAY(Q11)),DATE($W$4,$N14,DAY(MAX(Q11:W11))),$D$68:$D$92),0)</f>
        <v>5</v>
      </c>
      <c r="Y11" s="541">
        <f>IF(DAY(MAX(Q11:W11))&lt;&gt;0,NETWORKDAYS(DATE($W$4,$N$14,DAY(Q11)),DATE($W$4,$N$14,DAY(MAX(Q11:W11))),$A$101:$A$231),0)</f>
        <v>0</v>
      </c>
      <c r="Z11" s="1035"/>
      <c r="AA11" s="931">
        <f>IF(AN48=1,AA10+30,"01/05 ")</f>
        <v>45413</v>
      </c>
      <c r="AB11" s="939"/>
      <c r="AC11" s="12">
        <f>MOD(AC10+30,7)</f>
        <v>3</v>
      </c>
      <c r="AD11" s="6" t="s">
        <v>38</v>
      </c>
      <c r="AE11" s="3" t="str">
        <f t="shared" si="0"/>
        <v>Miércoles</v>
      </c>
      <c r="AF11" s="728" t="str">
        <f>IF(AI11=1,"Año bisiesto"," ")</f>
        <v>Año bisiesto</v>
      </c>
      <c r="AG11" s="952"/>
      <c r="AH11" s="952"/>
      <c r="AI11" s="5">
        <f>IF(AND(AG4=AJ4,AG5&lt;&gt;0,W4&lt;&gt;1900),1,IF(AF5=0,1,0))</f>
        <v>1</v>
      </c>
      <c r="AJ11" s="42" t="s">
        <v>97</v>
      </c>
      <c r="AK11" s="13"/>
      <c r="AL11" s="13"/>
      <c r="AM11" s="13"/>
      <c r="AN11" s="993">
        <f ca="1">(AN10-1)*365+INT((AN10-1)/4)-INT((AN10-1)/100)+INT((AN10-1)/400)</f>
        <v>738520</v>
      </c>
      <c r="AO11" s="993"/>
      <c r="AP11" s="994"/>
      <c r="AQ11" s="3" t="s">
        <v>110</v>
      </c>
      <c r="AR11" s="3"/>
      <c r="AU11" s="4"/>
      <c r="AV11" s="209">
        <f>VLOOKUP(AC7,AR2:AU9,4)</f>
        <v>0</v>
      </c>
      <c r="AW11" s="209"/>
      <c r="AX11" s="209"/>
      <c r="AY11" s="209" t="s">
        <v>812</v>
      </c>
      <c r="AZ11" s="209"/>
    </row>
    <row r="12" spans="1:52" ht="12.75" customHeight="1">
      <c r="B12" s="941"/>
      <c r="C12" s="537">
        <f>C11+1</f>
        <v>3</v>
      </c>
      <c r="D12" s="538">
        <f>J11+1</f>
        <v>15</v>
      </c>
      <c r="E12" s="538">
        <f t="shared" si="1"/>
        <v>16</v>
      </c>
      <c r="F12" s="538">
        <f t="shared" si="1"/>
        <v>17</v>
      </c>
      <c r="G12" s="538">
        <f t="shared" si="1"/>
        <v>18</v>
      </c>
      <c r="H12" s="538">
        <f t="shared" si="1"/>
        <v>19</v>
      </c>
      <c r="I12" s="592">
        <f t="shared" si="1"/>
        <v>20</v>
      </c>
      <c r="J12" s="592">
        <f t="shared" si="1"/>
        <v>21</v>
      </c>
      <c r="K12" s="540">
        <f>IF(DAY(MAX(D12:J12))&lt;&gt;0,NETWORKDAYS(DATE($W$4,$A$14,DAY(D12)),DATE($W$4,$A$14,DAY(MAX(D12:J12))),$D$68:$D$92),0)</f>
        <v>5</v>
      </c>
      <c r="L12" s="541">
        <f>IF(DAY(MAX(D12:J12))&lt;&gt;0,NETWORKDAYS(DATE($W$4,$A$14,DAY(D12)),DATE($W$4,$A$14,DAY(MAX(D12:J12))),$A$101:$A$231),0)</f>
        <v>5</v>
      </c>
      <c r="M12" s="1032"/>
      <c r="N12" s="322"/>
      <c r="O12" s="935"/>
      <c r="P12" s="537">
        <f>P11+1</f>
        <v>29</v>
      </c>
      <c r="Q12" s="542">
        <f>W11+1</f>
        <v>15</v>
      </c>
      <c r="R12" s="542">
        <f t="shared" si="2"/>
        <v>16</v>
      </c>
      <c r="S12" s="542">
        <f t="shared" si="2"/>
        <v>17</v>
      </c>
      <c r="T12" s="542">
        <f t="shared" si="2"/>
        <v>18</v>
      </c>
      <c r="U12" s="544">
        <f t="shared" si="2"/>
        <v>19</v>
      </c>
      <c r="V12" s="545">
        <f t="shared" si="2"/>
        <v>20</v>
      </c>
      <c r="W12" s="545">
        <f t="shared" si="2"/>
        <v>21</v>
      </c>
      <c r="X12" s="540">
        <f>IF(DAY(MAX(Q12:W12))&lt;&gt;0,NETWORKDAYS(DATE($W$4,$N14,DAY(Q12)),DATE($W$4,$N14,DAY(MAX(Q12:W12))),$D$68:$D$92),0)</f>
        <v>5</v>
      </c>
      <c r="Y12" s="541">
        <f>IF(DAY(MAX(Q12:W12))&lt;&gt;0,NETWORKDAYS(DATE($W$4,$N$14,DAY(Q12)),DATE($W$4,$N$14,DAY(MAX(Q12:W12))),$A$101:$A$231),0)</f>
        <v>0</v>
      </c>
      <c r="Z12" s="1035"/>
      <c r="AA12" s="931">
        <f>IF(AN48=1,AA11+31,"01/06 ")</f>
        <v>45444</v>
      </c>
      <c r="AB12" s="939"/>
      <c r="AC12" s="12">
        <f>MOD(AC11+31,7)</f>
        <v>6</v>
      </c>
      <c r="AD12" s="6" t="s">
        <v>39</v>
      </c>
      <c r="AE12" s="3" t="str">
        <f t="shared" si="0"/>
        <v>Sábado</v>
      </c>
      <c r="AF12" s="728" t="str">
        <f>CONCATENATE(AF8,AH4)</f>
        <v>29/02/2024</v>
      </c>
      <c r="AG12" s="732"/>
      <c r="AH12" s="732"/>
      <c r="AI12" s="6">
        <f>IF(OR(AND(AI5=0,AG5&lt;&gt;0),AF5=0),1,0)</f>
        <v>1</v>
      </c>
      <c r="AJ12" s="13">
        <f>IF(AI12=1,29,28)</f>
        <v>29</v>
      </c>
      <c r="AK12" s="735"/>
      <c r="AL12" s="736"/>
      <c r="AM12" s="14"/>
      <c r="AN12" s="728">
        <f ca="1">IF(AI11=1,VLOOKUP(AN9-1,AP20:AT32,5),VLOOKUP(AN9-1,AP20:AT32,3))</f>
        <v>0</v>
      </c>
      <c r="AO12" s="728"/>
      <c r="AP12" s="728"/>
      <c r="AQ12" s="3" t="s">
        <v>111</v>
      </c>
      <c r="AR12" s="3"/>
      <c r="AU12" s="4"/>
      <c r="AV12" s="209" t="s">
        <v>811</v>
      </c>
      <c r="AW12" s="209">
        <v>7</v>
      </c>
      <c r="AX12" s="209"/>
      <c r="AY12" s="209">
        <f>IF(AI11=1,AV11+1,AV11)</f>
        <v>1</v>
      </c>
      <c r="AZ12" s="209"/>
    </row>
    <row r="13" spans="1:52" ht="12.75" customHeight="1">
      <c r="B13" s="941"/>
      <c r="C13" s="537">
        <f>C12+1</f>
        <v>4</v>
      </c>
      <c r="D13" s="538">
        <f>J12+1</f>
        <v>22</v>
      </c>
      <c r="E13" s="538">
        <f t="shared" si="1"/>
        <v>23</v>
      </c>
      <c r="F13" s="538">
        <f t="shared" si="1"/>
        <v>24</v>
      </c>
      <c r="G13" s="538">
        <f t="shared" si="1"/>
        <v>25</v>
      </c>
      <c r="H13" s="538">
        <f t="shared" si="1"/>
        <v>26</v>
      </c>
      <c r="I13" s="538">
        <f t="shared" si="1"/>
        <v>27</v>
      </c>
      <c r="J13" s="539">
        <f t="shared" si="1"/>
        <v>28</v>
      </c>
      <c r="K13" s="540">
        <f>IF(DAY(MAX(D13:J13))&lt;&gt;0,NETWORKDAYS(DATE($W$4,$A$14,DAY(D13)),DATE($W$4,$A$14,DAY(MAX(D13:J13))),$D$68:$D$92),0)</f>
        <v>5</v>
      </c>
      <c r="L13" s="541">
        <f>IF(DAY(MAX(D13:J13))&lt;&gt;0,NETWORKDAYS(DATE($W$4,$A$14,DAY(D13)),DATE($W$4,$A$14,DAY(MAX(D13:J13))),$A$101:$A$231),0)</f>
        <v>5</v>
      </c>
      <c r="M13" s="1032"/>
      <c r="N13" s="322"/>
      <c r="O13" s="935"/>
      <c r="P13" s="537">
        <f>P12+1</f>
        <v>30</v>
      </c>
      <c r="Q13" s="542">
        <f>W12+1</f>
        <v>22</v>
      </c>
      <c r="R13" s="542">
        <f t="shared" si="2"/>
        <v>23</v>
      </c>
      <c r="S13" s="542">
        <f t="shared" si="2"/>
        <v>24</v>
      </c>
      <c r="T13" s="542">
        <f t="shared" si="2"/>
        <v>25</v>
      </c>
      <c r="U13" s="542">
        <f t="shared" si="2"/>
        <v>26</v>
      </c>
      <c r="V13" s="542">
        <f t="shared" si="2"/>
        <v>27</v>
      </c>
      <c r="W13" s="543">
        <f>V13+1</f>
        <v>28</v>
      </c>
      <c r="X13" s="540">
        <f>IF(DAY(MAX(Q13:W13))&lt;&gt;0,NETWORKDAYS(DATE($W$4,$N14,DAY(Q13)),DATE($W$4,$N14,DAY(MAX(Q13:W13))),$D$68:$D$92),0)</f>
        <v>5</v>
      </c>
      <c r="Y13" s="541">
        <f>IF(DAY(MAX(Q13:W13))&lt;&gt;0,NETWORKDAYS(DATE($W$4,$N$14,DAY(Q13)),DATE($W$4,$N$14,DAY(MAX(Q13:W13))),$A$101:$A$231),0)</f>
        <v>0</v>
      </c>
      <c r="Z13" s="1035"/>
      <c r="AA13" s="931">
        <f>IF(AN48=1,AA12+30,"01/07 ")</f>
        <v>45474</v>
      </c>
      <c r="AB13" s="939"/>
      <c r="AC13" s="12">
        <f>MOD(AC12+30,7)</f>
        <v>1</v>
      </c>
      <c r="AD13" s="6" t="s">
        <v>40</v>
      </c>
      <c r="AE13" s="3" t="str">
        <f t="shared" si="0"/>
        <v>Lunes</v>
      </c>
      <c r="AF13" s="931">
        <f>IF(AN48=1,AA11+59," ")</f>
        <v>45472</v>
      </c>
      <c r="AG13" s="732"/>
      <c r="AH13" s="732"/>
      <c r="AI13" s="6"/>
      <c r="AJ13" s="13"/>
      <c r="AK13" s="14"/>
      <c r="AL13" s="14"/>
      <c r="AM13" s="14"/>
      <c r="AN13" s="728">
        <f ca="1">AN8</f>
        <v>1</v>
      </c>
      <c r="AO13" s="728"/>
      <c r="AP13" s="728"/>
      <c r="AQ13" s="3" t="s">
        <v>112</v>
      </c>
      <c r="AR13" s="3"/>
      <c r="AU13" s="4"/>
    </row>
    <row r="14" spans="1:52" ht="12.75" customHeight="1" thickBot="1">
      <c r="A14" s="319">
        <v>1</v>
      </c>
      <c r="B14" s="941"/>
      <c r="C14" s="537">
        <f>C13+1</f>
        <v>5</v>
      </c>
      <c r="D14" s="538">
        <f>J13+1</f>
        <v>29</v>
      </c>
      <c r="E14" s="538">
        <f>D14+1</f>
        <v>30</v>
      </c>
      <c r="F14" s="538">
        <f>IF(E14&lt;31,E14+1," ")</f>
        <v>31</v>
      </c>
      <c r="G14" s="538" t="str">
        <f>IF(E14&lt;30,E14+2," ")</f>
        <v xml:space="preserve"> </v>
      </c>
      <c r="H14" s="538" t="str">
        <f>IF(E14&lt;29,E14+3," ")</f>
        <v xml:space="preserve"> </v>
      </c>
      <c r="I14" s="708" t="str">
        <f>IF(E14&lt;28,E14+4," ")</f>
        <v xml:space="preserve"> </v>
      </c>
      <c r="J14" s="708" t="str">
        <f>IF(E14&lt;27,E14+5," ")</f>
        <v xml:space="preserve"> </v>
      </c>
      <c r="K14" s="540">
        <f>IF(DAY(MAX(D14:J14))&lt;&gt;0,NETWORKDAYS(DATE($W$4,$A$14,DAY(D14)),DATE($W$4,$A$14,DAY(MAX(D14:J14))),$D$68:$D$92),0)</f>
        <v>3</v>
      </c>
      <c r="L14" s="541">
        <f>IF(DAY(MAX(D14:J14))&lt;&gt;0,NETWORKDAYS(DATE($W$4,$A$14,DAY(D14)),DATE($W$4,$A$14,DAY(MAX(D14:J14))),$A$101:$A$231),0)</f>
        <v>3</v>
      </c>
      <c r="M14" s="1033"/>
      <c r="N14" s="322">
        <v>7</v>
      </c>
      <c r="O14" s="935"/>
      <c r="P14" s="537">
        <f>P13+1</f>
        <v>31</v>
      </c>
      <c r="Q14" s="542">
        <f>W13+1</f>
        <v>29</v>
      </c>
      <c r="R14" s="542">
        <f>Q14+1</f>
        <v>30</v>
      </c>
      <c r="S14" s="542">
        <f>R14+1</f>
        <v>31</v>
      </c>
      <c r="T14" s="542" t="str">
        <f>IF(R14&lt;30,R14+2," ")</f>
        <v xml:space="preserve"> </v>
      </c>
      <c r="U14" s="542" t="str">
        <f>IF(R14&lt;29,R14+3," ")</f>
        <v xml:space="preserve"> </v>
      </c>
      <c r="V14" s="542" t="str">
        <f>IF(R14&lt;28,R14+4," ")</f>
        <v xml:space="preserve"> </v>
      </c>
      <c r="W14" s="543" t="str">
        <f>IF(R14&lt;27,R14+5," ")</f>
        <v xml:space="preserve"> </v>
      </c>
      <c r="X14" s="540">
        <f>IF(DAY(MAX(Q14:W14))&lt;&gt;0,NETWORKDAYS(DATE($W$4,$N14,DAY(Q14)),DATE($W$4,$N14,DAY(MAX(Q14:W14))),$D$68:$D$92),0)</f>
        <v>3</v>
      </c>
      <c r="Y14" s="541">
        <f>IF(DAY(MAX(Q14:W14))&lt;&gt;0,NETWORKDAYS(DATE($W$4,$N$14,DAY(Q14)),DATE($W$4,$N$14,DAY(MAX(Q14:W14))),$A$101:$A$231),0)</f>
        <v>0</v>
      </c>
      <c r="Z14" s="1036"/>
      <c r="AA14" s="931">
        <f>IF(AN48=1,AA13+31,"01/08 ")</f>
        <v>45505</v>
      </c>
      <c r="AB14" s="939"/>
      <c r="AC14" s="12">
        <f>MOD(AC13+31,7)</f>
        <v>4</v>
      </c>
      <c r="AD14" s="6" t="s">
        <v>41</v>
      </c>
      <c r="AE14" s="3" t="str">
        <f t="shared" si="0"/>
        <v>Jueves</v>
      </c>
      <c r="AF14" s="733" t="str">
        <f>CONCATENATE(AF7,AE4)</f>
        <v>01/01/2024</v>
      </c>
      <c r="AG14" s="992"/>
      <c r="AH14" s="992"/>
      <c r="AI14" s="6"/>
      <c r="AJ14" s="40">
        <f>MOD(AJ17,7)</f>
        <v>1</v>
      </c>
      <c r="AK14" s="6"/>
      <c r="AL14" s="728" t="e">
        <f ca="1">VLOOKUP(AQ14,AL21:AN27,2)</f>
        <v>#N/A</v>
      </c>
      <c r="AM14" s="728"/>
      <c r="AN14" s="993">
        <f ca="1">SUM(AN11:AP13)</f>
        <v>738521</v>
      </c>
      <c r="AO14" s="993"/>
      <c r="AP14" s="728"/>
      <c r="AQ14" s="41">
        <f ca="1">MOD(AN14,7)</f>
        <v>0</v>
      </c>
      <c r="AR14" s="3"/>
      <c r="AU14" s="4"/>
    </row>
    <row r="15" spans="1:52" ht="12.75" customHeight="1" thickBot="1">
      <c r="A15" s="319">
        <v>31</v>
      </c>
      <c r="B15" s="990"/>
      <c r="C15" s="546">
        <f>IF(D15=" ",C14,C14+1)</f>
        <v>5</v>
      </c>
      <c r="D15" s="547" t="str">
        <f>IF(J14&lt;31,J14+1," ")</f>
        <v xml:space="preserve"> </v>
      </c>
      <c r="E15" s="547" t="str">
        <f>IF(D15&lt;31,D15+1," ")</f>
        <v xml:space="preserve"> </v>
      </c>
      <c r="F15" s="547" t="str">
        <f>IF(E15&lt;31,E15+1," ")</f>
        <v xml:space="preserve"> </v>
      </c>
      <c r="G15" s="547" t="str">
        <f>IF(F15&lt;31,F15+1," ")</f>
        <v xml:space="preserve"> </v>
      </c>
      <c r="H15" s="547" t="str">
        <f>IF(G15&lt;31,G15+1," ")</f>
        <v xml:space="preserve"> </v>
      </c>
      <c r="I15" s="547" t="str">
        <f>IF(H15&lt;31,H15+1," ")</f>
        <v xml:space="preserve"> </v>
      </c>
      <c r="J15" s="547" t="str">
        <f>IF(I15&lt;31,I15+1," ")</f>
        <v xml:space="preserve"> </v>
      </c>
      <c r="K15" s="548">
        <f>IF(DAY(MAX(D15:J15))&lt;&gt;0,NETWORKDAYS(DATE($W$4,$A$14,DAY(D15)),DATE($W$4,$A$14,DAY(MAX(D15:J15))),$D$68:$D$92),0)</f>
        <v>0</v>
      </c>
      <c r="L15" s="549">
        <f>IF(DAY(MAX(D15:J15))&lt;&gt;0,NETWORKDAYS(DATE($W$4,$A$14,DAY(D15)),DATE($W$4,$A$14,DAY(MAX(D15:J15))),$A$101:$A$231),0)</f>
        <v>0</v>
      </c>
      <c r="M15" s="597">
        <f>NETWORKDAYS(DATE($W$4,A14,1),DATE($W$4,A14,A15),$A$101:$A$231)</f>
        <v>18</v>
      </c>
      <c r="N15" s="322">
        <v>31</v>
      </c>
      <c r="O15" s="936"/>
      <c r="P15" s="551">
        <f>IF(Q15=" ",P14,P14+1)</f>
        <v>31</v>
      </c>
      <c r="Q15" s="552" t="str">
        <f>IF(W14&lt;31,W14+1," ")</f>
        <v xml:space="preserve"> </v>
      </c>
      <c r="R15" s="552" t="str">
        <f t="shared" ref="R15:W15" si="3">IF(Q15&lt;31,Q15+1," ")</f>
        <v xml:space="preserve"> </v>
      </c>
      <c r="S15" s="552" t="str">
        <f t="shared" si="3"/>
        <v xml:space="preserve"> </v>
      </c>
      <c r="T15" s="552" t="str">
        <f t="shared" si="3"/>
        <v xml:space="preserve"> </v>
      </c>
      <c r="U15" s="552" t="str">
        <f t="shared" si="3"/>
        <v xml:space="preserve"> </v>
      </c>
      <c r="V15" s="552" t="str">
        <f t="shared" si="3"/>
        <v xml:space="preserve"> </v>
      </c>
      <c r="W15" s="552" t="str">
        <f t="shared" si="3"/>
        <v xml:space="preserve"> </v>
      </c>
      <c r="X15" s="548">
        <f>IF(DAY(MAX(Q15:W15))&lt;&gt;0,NETWORKDAYS(DATE($W$4,$N14,DAY(Q15)),DATE($W$4,$N14,DAY(MAX(Q15:W15))),$D$68:$D$92),0)</f>
        <v>0</v>
      </c>
      <c r="Y15" s="549">
        <f>IF(DAY(MAX(Q15:W15))&lt;&gt;0,NETWORKDAYS(DATE($W$4,$N$14,DAY(Q15)),DATE($W$4,$N$14,DAY(MAX(Q15:W15))),$A$101:$A$231),0)</f>
        <v>0</v>
      </c>
      <c r="Z15" s="597">
        <f>NETWORKDAYS(DATE($W$4,N14,1),DATE($W$4,N14,N15),$A$101:$A$231)</f>
        <v>0</v>
      </c>
      <c r="AA15" s="931">
        <f>IF(AN48=1,AA14+31,"01/09 ")</f>
        <v>45536</v>
      </c>
      <c r="AB15" s="939"/>
      <c r="AC15" s="12">
        <f>MOD(AC14+31,7)</f>
        <v>0</v>
      </c>
      <c r="AD15" s="6" t="s">
        <v>42</v>
      </c>
      <c r="AE15" s="3" t="str">
        <f t="shared" si="0"/>
        <v>Domingo</v>
      </c>
      <c r="AF15" s="931">
        <f>IF(AN48=1,DATEVALUE(AF14)," ")</f>
        <v>45292</v>
      </c>
      <c r="AG15" s="732"/>
      <c r="AH15" s="732"/>
      <c r="AI15" s="6"/>
      <c r="AJ15" s="6"/>
      <c r="AK15" s="6"/>
      <c r="AL15" s="6"/>
      <c r="AM15" s="6"/>
      <c r="AN15" s="6"/>
      <c r="AO15" s="6"/>
      <c r="AP15" s="6"/>
      <c r="AR15" s="3"/>
      <c r="AU15" s="4"/>
    </row>
    <row r="16" spans="1:52" ht="12.75" customHeight="1">
      <c r="B16" s="951" t="s">
        <v>51</v>
      </c>
      <c r="C16" s="530">
        <f>IF(D16&lt;&gt;" ",C15+1,C15)</f>
        <v>5</v>
      </c>
      <c r="D16" s="531" t="str">
        <f>IF($AC$8=1,1," ")</f>
        <v xml:space="preserve"> </v>
      </c>
      <c r="E16" s="531" t="str">
        <f>IF($AC$8=2,1,IF(D16=1,D16+1," "))</f>
        <v xml:space="preserve"> </v>
      </c>
      <c r="F16" s="531" t="str">
        <f>IF($AC$8=3,1,IF(D16=1,D16+2,IF(E16=1,E16+1," ")))</f>
        <v xml:space="preserve"> </v>
      </c>
      <c r="G16" s="531">
        <f>IF($AC$8=4,1,IF($D16=1,$D16+3,IF($E16=1,$E16+2,IF($F16=1,$F16+1," "))))</f>
        <v>1</v>
      </c>
      <c r="H16" s="531">
        <f>IF($AC$8=5,1,IF($D16=1,$D16+4,IF($E16=1,$E16+3,IF($F16=1,$F16+2,IF($G16=1,$G16+1," ")))))</f>
        <v>2</v>
      </c>
      <c r="I16" s="531">
        <f>IF($AC$8=6,1,IF($D16=1,$D16+5,IF($E16=1,$E16+4,IF($F16=1,$F16+3,IF($G16=1,$G16+2,IF($H16=1,H16+1," "))))))</f>
        <v>3</v>
      </c>
      <c r="J16" s="531">
        <f>IF($AC$8=0,1,IF($D16=1,$D16+6,IF($E16=1,$E16+5,IF($F16=1,$F16+4,IF($G16=1,$G16+3,IF($H16=1,$H16+2,IF($I16=1,$I16+1," ")))))))</f>
        <v>4</v>
      </c>
      <c r="K16" s="553">
        <f>IF(DAY(MAX(D16:J16))&lt;&gt;0,NETWORKDAYS(DATE($W$4,$A$20,1),DATE($W$4,$A$20,DAY(MAX(D16:J16))),$D$68:$D$92),0)</f>
        <v>2</v>
      </c>
      <c r="L16" s="534">
        <f>IF(DAY(MAX(D16:J16))&lt;&gt;0,NETWORKDAYS(DATE($W$4,$A$20,1),DATE($W$4,$A$20,DAY(MAX(D16:J16))),$A$101:$A$231),0)</f>
        <v>2</v>
      </c>
      <c r="M16" s="1034" t="s">
        <v>930</v>
      </c>
      <c r="N16" s="322"/>
      <c r="O16" s="934" t="s">
        <v>56</v>
      </c>
      <c r="P16" s="530">
        <f>IF(Q16&lt;&gt;" ",P15+1,P15)</f>
        <v>31</v>
      </c>
      <c r="Q16" s="535" t="str">
        <f>IF($AC$14=1,1," ")</f>
        <v xml:space="preserve"> </v>
      </c>
      <c r="R16" s="535" t="str">
        <f>IF($AC$14=2,1,IF(Q16=1,Q16+1," "))</f>
        <v xml:space="preserve"> </v>
      </c>
      <c r="S16" s="535" t="str">
        <f>IF($AC$14=3,1,IF(Q16=1,Q16+2,IF(R16=1,R16+1," ")))</f>
        <v xml:space="preserve"> </v>
      </c>
      <c r="T16" s="535">
        <f>IF($AC$14=4,1,IF($Q16=1,$Q16+3,IF($R16=1,$R16+2,IF($S16=1,$S16+1," "))))</f>
        <v>1</v>
      </c>
      <c r="U16" s="535">
        <f>IF($AC$14=5,1,IF($Q16=1,$Q16+4,IF($R16=1,$R16+3,IF($S16=1,$S16+2,IF($T16=1,$T16+1," ")))))</f>
        <v>2</v>
      </c>
      <c r="V16" s="535">
        <f>IF($AC$14=6,1,IF($Q16=1,$Q16+5,IF($R16=1,$R16+4,IF($S16=1,$S16+3,IF($T16=1,$T16+2,IF($U16=1,U16+1," "))))))</f>
        <v>3</v>
      </c>
      <c r="W16" s="536">
        <f>IF($AC$14=0,1,IF($Q16=1,$Q16+6,IF($R16=1,$R16+5,IF($S16=1,$S16+4,IF($T16=1,$T16+3,IF($U16=1,$U16+2,IF($V16=1,$V16+1," ")))))))</f>
        <v>4</v>
      </c>
      <c r="X16" s="553">
        <f>IF(DAY(MAX(Q16:W16))&lt;&gt;0,NETWORKDAYS(DATE($W$4,$N20,1),DATE($W$4,$N20,DAY(MAX(Q16:W16))),$D$68:$D$92),0)</f>
        <v>2</v>
      </c>
      <c r="Y16" s="534">
        <f>IF(DAY(MAX(Q16:W16))&lt;&gt;0,NETWORKDAYS(DATE($W$4,$N$20,1),DATE($W$4,$N$20,DAY(MAX(Q16:W16))),$A$101:$A$231),0)</f>
        <v>0</v>
      </c>
      <c r="Z16" s="1034" t="s">
        <v>930</v>
      </c>
      <c r="AA16" s="931">
        <f>IF(AN48=1,AA15+30,"01/10 ")</f>
        <v>45566</v>
      </c>
      <c r="AB16" s="939"/>
      <c r="AC16" s="12">
        <f>MOD(AC15+30,7)</f>
        <v>2</v>
      </c>
      <c r="AD16" s="6" t="s">
        <v>43</v>
      </c>
      <c r="AE16" s="3" t="str">
        <f t="shared" si="0"/>
        <v>Martes</v>
      </c>
      <c r="AF16" s="728"/>
      <c r="AG16" s="728"/>
      <c r="AH16" s="728"/>
      <c r="AI16" s="991" t="s">
        <v>106</v>
      </c>
      <c r="AJ16" s="930"/>
      <c r="AK16" s="930"/>
      <c r="AL16" s="930"/>
      <c r="AM16" s="930"/>
      <c r="AN16" s="930"/>
      <c r="AO16" s="930"/>
      <c r="AP16" s="930"/>
      <c r="AQ16" s="930"/>
      <c r="AR16" s="930"/>
      <c r="AU16" s="4"/>
    </row>
    <row r="17" spans="1:47" ht="12.75" customHeight="1">
      <c r="B17" s="941"/>
      <c r="C17" s="537">
        <f>C16+1</f>
        <v>6</v>
      </c>
      <c r="D17" s="538">
        <f>J16+1</f>
        <v>5</v>
      </c>
      <c r="E17" s="538">
        <f t="shared" ref="E17:J19" si="4">D17+1</f>
        <v>6</v>
      </c>
      <c r="F17" s="538">
        <f t="shared" si="4"/>
        <v>7</v>
      </c>
      <c r="G17" s="538">
        <f t="shared" si="4"/>
        <v>8</v>
      </c>
      <c r="H17" s="538">
        <f t="shared" si="4"/>
        <v>9</v>
      </c>
      <c r="I17" s="538">
        <f t="shared" si="4"/>
        <v>10</v>
      </c>
      <c r="J17" s="539">
        <f t="shared" si="4"/>
        <v>11</v>
      </c>
      <c r="K17" s="540">
        <f>IF(DAY(MAX(D17:J17))&lt;&gt;0,NETWORKDAYS(DATE($W$4,$A$20,DAY(D17)),DATE($W$4,$A$20,DAY(MAX(D17:J17))),$D$68:$D$92),0)</f>
        <v>5</v>
      </c>
      <c r="L17" s="541">
        <f>IF(DAY(MAX(D17:J17))&lt;&gt;0,NETWORKDAYS(DATE($W$4,$A$20,DAY(D17)),DATE($W$4,$A$20,DAY(MAX(D17:J17))),$A$101:$A$231),0)</f>
        <v>5</v>
      </c>
      <c r="M17" s="1032"/>
      <c r="N17" s="322"/>
      <c r="O17" s="935"/>
      <c r="P17" s="537">
        <f>P16+1</f>
        <v>32</v>
      </c>
      <c r="Q17" s="542">
        <f>W16+1</f>
        <v>5</v>
      </c>
      <c r="R17" s="542">
        <f t="shared" ref="R17:W19" si="5">Q17+1</f>
        <v>6</v>
      </c>
      <c r="S17" s="542">
        <f t="shared" si="5"/>
        <v>7</v>
      </c>
      <c r="T17" s="542">
        <f t="shared" si="5"/>
        <v>8</v>
      </c>
      <c r="U17" s="542">
        <f t="shared" si="5"/>
        <v>9</v>
      </c>
      <c r="V17" s="542">
        <f t="shared" si="5"/>
        <v>10</v>
      </c>
      <c r="W17" s="543">
        <f t="shared" si="5"/>
        <v>11</v>
      </c>
      <c r="X17" s="540">
        <f>IF(DAY(MAX(Q17:W17))&lt;&gt;0,NETWORKDAYS(DATE($W$4,$N20,DAY(Q17)),DATE($W$4,$N20,DAY(MAX(Q17:W17))),$D$68:$D$92),0)</f>
        <v>5</v>
      </c>
      <c r="Y17" s="541">
        <f>IF(DAY(MAX(Q17:W17))&lt;&gt;0,NETWORKDAYS(DATE($W$4,$N$20,DAY(Q17)),DATE($W$4,$N$20,DAY(MAX(Q17:W17))),$A$101:$A$231),0)</f>
        <v>0</v>
      </c>
      <c r="Z17" s="1035"/>
      <c r="AA17" s="931">
        <f>IF(AN48=1,AA16+31,"01/11 ")</f>
        <v>45597</v>
      </c>
      <c r="AB17" s="939"/>
      <c r="AC17" s="12">
        <f>IF(AE4+0&lt;&gt;1582,MOD(AC16+31,7),1)</f>
        <v>5</v>
      </c>
      <c r="AD17" s="6" t="s">
        <v>44</v>
      </c>
      <c r="AE17" s="3" t="str">
        <f t="shared" si="0"/>
        <v>Viernes</v>
      </c>
      <c r="AF17" s="6"/>
      <c r="AG17" s="40">
        <f>MOD(AH17,7)+1</f>
        <v>3</v>
      </c>
      <c r="AH17" s="993">
        <f>(AH4-1)*365+INT((AH4-1)/4)-INT((AH4-1)/100)+INT((AH4-1)/400)+AI7</f>
        <v>738894</v>
      </c>
      <c r="AI17" s="994"/>
      <c r="AJ17" s="40">
        <f>MOD((MOD(AG17,7)+5),7)</f>
        <v>1</v>
      </c>
      <c r="AK17" s="728" t="s">
        <v>98</v>
      </c>
      <c r="AL17" s="924"/>
      <c r="AM17" s="924"/>
      <c r="AN17" s="924"/>
      <c r="AO17" s="39"/>
      <c r="AP17" s="11">
        <f>AE4</f>
        <v>2024</v>
      </c>
      <c r="AR17" s="3"/>
      <c r="AU17" s="4"/>
    </row>
    <row r="18" spans="1:47" ht="12.75" customHeight="1">
      <c r="B18" s="941"/>
      <c r="C18" s="537">
        <f>C17+1</f>
        <v>7</v>
      </c>
      <c r="D18" s="538">
        <f>J17+1</f>
        <v>12</v>
      </c>
      <c r="E18" s="538">
        <f t="shared" si="4"/>
        <v>13</v>
      </c>
      <c r="F18" s="538">
        <f t="shared" si="4"/>
        <v>14</v>
      </c>
      <c r="G18" s="538">
        <f t="shared" si="4"/>
        <v>15</v>
      </c>
      <c r="H18" s="538">
        <f t="shared" si="4"/>
        <v>16</v>
      </c>
      <c r="I18" s="538">
        <f t="shared" si="4"/>
        <v>17</v>
      </c>
      <c r="J18" s="539">
        <f t="shared" si="4"/>
        <v>18</v>
      </c>
      <c r="K18" s="540">
        <f>IF(DAY(MAX(D18:J18))&lt;&gt;0,NETWORKDAYS(DATE($W$4,$A$20,DAY(D18)),DATE($W$4,$A$20,DAY(MAX(D18:J18))),$D$68:$D$92),0)</f>
        <v>5</v>
      </c>
      <c r="L18" s="541">
        <f>IF(DAY(MAX(D18:J18))&lt;&gt;0,NETWORKDAYS(DATE($W$4,$A$20,DAY(D18)),DATE($W$4,$A$20,DAY(MAX(D18:J18))),$A$101:$A$231),0)</f>
        <v>5</v>
      </c>
      <c r="M18" s="1032"/>
      <c r="N18" s="322"/>
      <c r="O18" s="935"/>
      <c r="P18" s="537">
        <f>P17+1</f>
        <v>33</v>
      </c>
      <c r="Q18" s="542">
        <f>W17+1</f>
        <v>12</v>
      </c>
      <c r="R18" s="542">
        <f t="shared" si="5"/>
        <v>13</v>
      </c>
      <c r="S18" s="542">
        <f t="shared" si="5"/>
        <v>14</v>
      </c>
      <c r="T18" s="542">
        <f t="shared" si="5"/>
        <v>15</v>
      </c>
      <c r="U18" s="542">
        <f t="shared" si="5"/>
        <v>16</v>
      </c>
      <c r="V18" s="542">
        <f t="shared" si="5"/>
        <v>17</v>
      </c>
      <c r="W18" s="543">
        <f t="shared" si="5"/>
        <v>18</v>
      </c>
      <c r="X18" s="540">
        <f>IF(DAY(MAX(Q18:W18))&lt;&gt;0,NETWORKDAYS(DATE($W$4,$N20,DAY(Q18)),DATE($W$4,$N20,DAY(MAX(Q18:W18))),$D$68:$D$92),0)</f>
        <v>4</v>
      </c>
      <c r="Y18" s="541">
        <f>IF(DAY(MAX(Q18:W18))&lt;&gt;0,NETWORKDAYS(DATE($W$4,$N$20,DAY(Q18)),DATE($W$4,$N$20,DAY(MAX(Q18:W18))),$A$101:$A$231),0)</f>
        <v>0</v>
      </c>
      <c r="Z18" s="1035"/>
      <c r="AA18" s="931">
        <f>IF(AN48=1,AA17+30,"01/12 ")</f>
        <v>45627</v>
      </c>
      <c r="AB18" s="939"/>
      <c r="AC18" s="12">
        <f>MOD(AC17+30,7)</f>
        <v>0</v>
      </c>
      <c r="AD18" s="6" t="s">
        <v>45</v>
      </c>
      <c r="AE18" s="3" t="str">
        <f t="shared" si="0"/>
        <v>Domingo</v>
      </c>
      <c r="AF18" s="6"/>
      <c r="AG18" s="6"/>
      <c r="AH18" s="6"/>
      <c r="AI18" s="6"/>
      <c r="AJ18" s="6" t="str">
        <f>VLOOKUP(AJ17,AL20:AN27,2)</f>
        <v>Lunes</v>
      </c>
      <c r="AK18" s="6"/>
      <c r="AL18" s="6"/>
      <c r="AM18" s="6"/>
      <c r="AN18" s="6"/>
      <c r="AO18" s="6"/>
      <c r="AP18" s="6"/>
      <c r="AR18" s="3"/>
      <c r="AU18" s="4"/>
    </row>
    <row r="19" spans="1:47" ht="12.75" customHeight="1">
      <c r="B19" s="941"/>
      <c r="C19" s="537">
        <f>C18+1</f>
        <v>8</v>
      </c>
      <c r="D19" s="538">
        <f>J18+1</f>
        <v>19</v>
      </c>
      <c r="E19" s="538">
        <f t="shared" si="4"/>
        <v>20</v>
      </c>
      <c r="F19" s="538">
        <f t="shared" si="4"/>
        <v>21</v>
      </c>
      <c r="G19" s="538">
        <f t="shared" si="4"/>
        <v>22</v>
      </c>
      <c r="H19" s="538">
        <f t="shared" si="4"/>
        <v>23</v>
      </c>
      <c r="I19" s="538">
        <f t="shared" si="4"/>
        <v>24</v>
      </c>
      <c r="J19" s="539">
        <f t="shared" si="4"/>
        <v>25</v>
      </c>
      <c r="K19" s="540">
        <f>IF(DAY(MAX(D19:J19))&lt;&gt;0,NETWORKDAYS(DATE($W$4,$A$20,DAY(D19)),DATE($W$4,$A$20,DAY(MAX(D19:J19))),$D$68:$D$92),0)</f>
        <v>5</v>
      </c>
      <c r="L19" s="541">
        <f>IF(DAY(MAX(D19:J19))&lt;&gt;0,NETWORKDAYS(DATE($W$4,$A$20,DAY(D19)),DATE($W$4,$A$20,DAY(MAX(D19:J19))),$A$101:$A$231),0)</f>
        <v>5</v>
      </c>
      <c r="M19" s="1032"/>
      <c r="N19" s="322"/>
      <c r="O19" s="935"/>
      <c r="P19" s="537">
        <f>P18+1</f>
        <v>34</v>
      </c>
      <c r="Q19" s="542">
        <f>W18+1</f>
        <v>19</v>
      </c>
      <c r="R19" s="542">
        <f t="shared" si="5"/>
        <v>20</v>
      </c>
      <c r="S19" s="542">
        <f t="shared" si="5"/>
        <v>21</v>
      </c>
      <c r="T19" s="542">
        <f t="shared" si="5"/>
        <v>22</v>
      </c>
      <c r="U19" s="542">
        <f t="shared" si="5"/>
        <v>23</v>
      </c>
      <c r="V19" s="542">
        <f t="shared" si="5"/>
        <v>24</v>
      </c>
      <c r="W19" s="543">
        <f t="shared" si="5"/>
        <v>25</v>
      </c>
      <c r="X19" s="540">
        <f>IF(DAY(MAX(Q19:W19))&lt;&gt;0,NETWORKDAYS(DATE($W$4,$N20,DAY(Q19)),DATE($W$4,$N20,DAY(MAX(Q19:W19))),$D$68:$D$92),0)</f>
        <v>5</v>
      </c>
      <c r="Y19" s="541">
        <f>IF(DAY(MAX(Q19:W19))&lt;&gt;0,NETWORKDAYS(DATE($W$4,$N$20,DAY(Q19)),DATE($W$4,$N$20,DAY(MAX(Q19:W19))),$A$101:$A$231),0)</f>
        <v>0</v>
      </c>
      <c r="Z19" s="1035"/>
      <c r="AA19" s="6"/>
      <c r="AB19" s="6"/>
      <c r="AC19" s="6"/>
      <c r="AD19" s="6"/>
      <c r="AE19" s="6"/>
      <c r="AF19" s="6"/>
      <c r="AG19" s="6"/>
      <c r="AH19" s="6"/>
      <c r="AI19" s="6"/>
      <c r="AJ19" s="6"/>
      <c r="AK19" s="6"/>
      <c r="AL19" s="6"/>
      <c r="AM19" s="6"/>
      <c r="AN19" s="6"/>
      <c r="AO19" s="6"/>
    </row>
    <row r="20" spans="1:47" ht="12.75" customHeight="1" thickBot="1">
      <c r="A20" s="319">
        <v>2</v>
      </c>
      <c r="B20" s="941"/>
      <c r="C20" s="537">
        <f>IF(D20=" ",C19,C19+1)</f>
        <v>9</v>
      </c>
      <c r="D20" s="538">
        <f>IF(AND(J19&lt;29,AI11=1),J19+1,IF(J19&lt;28,J19+1," "))</f>
        <v>26</v>
      </c>
      <c r="E20" s="538">
        <f>IF(AND(D20&lt;29,AI11=1),D20+1,IF(D20&lt;28,D20+1," "))</f>
        <v>27</v>
      </c>
      <c r="F20" s="538">
        <f>IF(AND(E20&lt;29,AI11=1),E20+1,IF(E20&lt;28,E20+1," "))</f>
        <v>28</v>
      </c>
      <c r="G20" s="538">
        <f>IF(AND(F20&lt;29,AI11=1),F20+1,IF(F20&lt;28,F20+1," "))</f>
        <v>29</v>
      </c>
      <c r="H20" s="538" t="str">
        <f>IF(AND(G20&lt;29,AI11=1),G20+1,IF(G20&lt;28,G20+1," "))</f>
        <v xml:space="preserve"> </v>
      </c>
      <c r="I20" s="538" t="str">
        <f>IF(AND(H20&lt;29,AI11=1),H20+1,IF(H20&lt;28,H20+1," "))</f>
        <v xml:space="preserve"> </v>
      </c>
      <c r="J20" s="539" t="str">
        <f>IF(AND(I20&lt;29,AI11=1),I20+1,IF(I20&lt;28,I20+1," "))</f>
        <v xml:space="preserve"> </v>
      </c>
      <c r="K20" s="540">
        <f>IF(DAY(MAX(D20:J20))&lt;&gt;0,NETWORKDAYS(DATE($W$4,$A$20,DAY(D20)),DATE($W$4,$A$20,DAY(MAX(D20:J20))),$D$68:$D$92),0)</f>
        <v>4</v>
      </c>
      <c r="L20" s="541">
        <f>IF(DAY(MAX(D20:J20))&lt;&gt;0,NETWORKDAYS(DATE($W$4,$A$20,DAY(D20)),DATE($W$4,$A$20,DAY(MAX(D20:J20))),$A$101:$A$231),0)</f>
        <v>4</v>
      </c>
      <c r="M20" s="1033"/>
      <c r="N20" s="322">
        <v>8</v>
      </c>
      <c r="O20" s="935"/>
      <c r="P20" s="537">
        <f>P19+1</f>
        <v>35</v>
      </c>
      <c r="Q20" s="542">
        <f>W19+1</f>
        <v>26</v>
      </c>
      <c r="R20" s="542">
        <f>Q20+1</f>
        <v>27</v>
      </c>
      <c r="S20" s="542">
        <f>IF(R20&lt;31,R20+1," ")</f>
        <v>28</v>
      </c>
      <c r="T20" s="542">
        <f>IF(R20&lt;30,R20+2," ")</f>
        <v>29</v>
      </c>
      <c r="U20" s="542">
        <f>IF(R20&lt;29,R20+3," ")</f>
        <v>30</v>
      </c>
      <c r="V20" s="542">
        <f>IF(R20&lt;28,R20+4," ")</f>
        <v>31</v>
      </c>
      <c r="W20" s="543" t="str">
        <f>IF(R20&lt;27,R20+5," ")</f>
        <v xml:space="preserve"> </v>
      </c>
      <c r="X20" s="540">
        <f>IF(DAY(MAX(Q20:W20))&lt;&gt;0,NETWORKDAYS(DATE($W$4,$N20,DAY(Q20)),DATE($W$4,$N20,DAY(MAX(Q20:W20))),$D$68:$D$92),0)</f>
        <v>5</v>
      </c>
      <c r="Y20" s="541">
        <f>IF(DAY(MAX(Q20:W20))&lt;&gt;0,NETWORKDAYS(DATE($W$4,$N$20,DAY(Q20)),DATE($W$4,$N$20,DAY(MAX(Q20:W20))),$A$101:$A$231),0)</f>
        <v>0</v>
      </c>
      <c r="Z20" s="1036"/>
      <c r="AA20" s="6"/>
      <c r="AB20" s="6"/>
      <c r="AC20" s="6"/>
      <c r="AD20" s="258">
        <f>IF(W4+0=1582,10,0)</f>
        <v>0</v>
      </c>
      <c r="AE20" s="6"/>
      <c r="AF20" s="6"/>
      <c r="AG20" s="6"/>
      <c r="AH20" s="6"/>
      <c r="AI20" s="6"/>
      <c r="AJ20" s="6"/>
      <c r="AK20" s="206">
        <v>1</v>
      </c>
      <c r="AL20" s="6">
        <v>0</v>
      </c>
      <c r="AM20" s="7" t="s">
        <v>105</v>
      </c>
      <c r="AN20" s="6"/>
      <c r="AO20" s="6"/>
      <c r="AP20" s="3">
        <v>0</v>
      </c>
      <c r="AQ20" s="3">
        <v>0</v>
      </c>
      <c r="AR20" s="4">
        <v>0</v>
      </c>
      <c r="AS20" s="4">
        <v>0</v>
      </c>
      <c r="AT20" s="4">
        <v>0</v>
      </c>
    </row>
    <row r="21" spans="1:47" ht="12.75" customHeight="1" thickBot="1">
      <c r="A21" s="319">
        <f>$AJ$12</f>
        <v>29</v>
      </c>
      <c r="B21" s="942"/>
      <c r="C21" s="551">
        <f>C20</f>
        <v>9</v>
      </c>
      <c r="D21" s="554" t="str">
        <f>" "</f>
        <v xml:space="preserve"> </v>
      </c>
      <c r="E21" s="554" t="str">
        <f t="shared" ref="E21:J21" si="6">" "</f>
        <v xml:space="preserve"> </v>
      </c>
      <c r="F21" s="554" t="str">
        <f t="shared" si="6"/>
        <v xml:space="preserve"> </v>
      </c>
      <c r="G21" s="554" t="str">
        <f t="shared" si="6"/>
        <v xml:space="preserve"> </v>
      </c>
      <c r="H21" s="554" t="str">
        <f t="shared" si="6"/>
        <v xml:space="preserve"> </v>
      </c>
      <c r="I21" s="554" t="str">
        <f t="shared" si="6"/>
        <v xml:space="preserve"> </v>
      </c>
      <c r="J21" s="554" t="str">
        <f t="shared" si="6"/>
        <v xml:space="preserve"> </v>
      </c>
      <c r="K21" s="548">
        <f>IF(DAY(MAX(D21:J21))&lt;&gt;0,NETWORKDAYS(DATE($W$4,$A$20,DAY(D21)),DATE($W$4,$A$20,DAY(MAX(D21:J21))),$D$68:$D$92),0)</f>
        <v>0</v>
      </c>
      <c r="L21" s="555">
        <f>IF(DAY(MAX(D21:J21))&lt;&gt;0,NETWORKDAYS(DATE($W$4,$A$20,DAY(D21)),DATE($W$4,$A$20,DAY(MAX(D21:J21))),$A$101:$A$231),0)</f>
        <v>0</v>
      </c>
      <c r="M21" s="597">
        <f>NETWORKDAYS(DATE($W$4,A20,1),DATE($W$4,A20,A21),$A$101:$A$231)</f>
        <v>21</v>
      </c>
      <c r="N21" s="322">
        <v>31</v>
      </c>
      <c r="O21" s="937"/>
      <c r="P21" s="551">
        <f>IF(Q21=" ",P20,P20+1)</f>
        <v>35</v>
      </c>
      <c r="Q21" s="552" t="str">
        <f>IF(W20&lt;31,W20+1," ")</f>
        <v xml:space="preserve"> </v>
      </c>
      <c r="R21" s="552" t="str">
        <f>IF(Q21&lt;31,Q21+1," ")</f>
        <v xml:space="preserve"> </v>
      </c>
      <c r="S21" s="552" t="str">
        <f>IF(R21&lt;31,R21+1," ")</f>
        <v xml:space="preserve"> </v>
      </c>
      <c r="T21" s="552" t="str">
        <f>IF(S21&lt;31,S21+1," ")</f>
        <v xml:space="preserve"> </v>
      </c>
      <c r="U21" s="552" t="str">
        <f>IF(T21&lt;31,T21+1," ")</f>
        <v xml:space="preserve"> </v>
      </c>
      <c r="V21" s="552" t="str">
        <f>IF(U21&lt;31,U21+1," ")</f>
        <v xml:space="preserve"> </v>
      </c>
      <c r="W21" s="552" t="str">
        <f>IF(V21&lt;31,V21+1," ")</f>
        <v xml:space="preserve"> </v>
      </c>
      <c r="X21" s="548">
        <f>IF(DAY(MAX(Q21:W21))&lt;&gt;0,NETWORKDAYS(DATE($W$4,$N20,DAY(Q21)),DATE($W$4,$N20,DAY(MAX(Q21:W21))),$D$68:$D$92),0)</f>
        <v>0</v>
      </c>
      <c r="Y21" s="555">
        <f>IF(DAY(MAX(Q21:W21))&lt;&gt;0,NETWORKDAYS(DATE($W$4,$N$20,DAY(Q21)),DATE($W$4,$N$20,DAY(MAX(Q21:W21))),$A$101:$A$231),0)</f>
        <v>0</v>
      </c>
      <c r="Z21" s="597">
        <f>NETWORKDAYS(DATE($W$4,N20,1),DATE($W$4,N20,N21),$A$101:$A$231)</f>
        <v>0</v>
      </c>
      <c r="AA21" s="728" t="s">
        <v>8</v>
      </c>
      <c r="AB21" s="952"/>
      <c r="AC21" s="952"/>
      <c r="AD21" s="952"/>
      <c r="AE21" s="6"/>
      <c r="AF21" s="6" t="s">
        <v>9</v>
      </c>
      <c r="AG21" s="6">
        <f>IF(AND(AH4+0&gt;1899,AH4+0&lt;10000),AH4,AH6)</f>
        <v>2024</v>
      </c>
      <c r="AH21" s="6"/>
      <c r="AI21" s="6" t="s">
        <v>10</v>
      </c>
      <c r="AJ21" s="6">
        <f ca="1">DAY(AA4)</f>
        <v>24</v>
      </c>
      <c r="AK21" s="206">
        <v>2</v>
      </c>
      <c r="AL21" s="6">
        <v>1</v>
      </c>
      <c r="AM21" s="7" t="s">
        <v>99</v>
      </c>
      <c r="AN21" s="6"/>
      <c r="AP21" s="3">
        <v>1</v>
      </c>
      <c r="AQ21" s="3">
        <v>31</v>
      </c>
      <c r="AR21" s="3">
        <f>AQ21+AR20</f>
        <v>31</v>
      </c>
      <c r="AS21" s="3">
        <v>31</v>
      </c>
      <c r="AT21" s="3">
        <f>AS21+AT20</f>
        <v>31</v>
      </c>
      <c r="AU21" s="6" t="s">
        <v>113</v>
      </c>
    </row>
    <row r="22" spans="1:47" ht="12.75" customHeight="1">
      <c r="B22" s="940" t="s">
        <v>52</v>
      </c>
      <c r="C22" s="556">
        <f>IF(D22&lt;&gt;" ",C21+1,C21)</f>
        <v>9</v>
      </c>
      <c r="D22" s="557" t="str">
        <f>IF($AC$9=1,1," ")</f>
        <v xml:space="preserve"> </v>
      </c>
      <c r="E22" s="557" t="str">
        <f>IF($AC$9=2,1,IF(D22=1,D22+1," "))</f>
        <v xml:space="preserve"> </v>
      </c>
      <c r="F22" s="557" t="str">
        <f>IF($AC$9=3,1,IF(D22=1,D22+2,IF(E22=1,E22+1," ")))</f>
        <v xml:space="preserve"> </v>
      </c>
      <c r="G22" s="557" t="str">
        <f>IF($AC$9=4,1,IF($D22=1,$D22+3,IF($E22=1,$E22+2,IF($F22=1,$F22+1," "))))</f>
        <v xml:space="preserve"> </v>
      </c>
      <c r="H22" s="557">
        <f>IF($AC$9=5,1,IF($D22=1,$D22+4,IF($E22=1,$E22+3,IF($F22=1,$F22+2,IF($G22=1,$G22+1," ")))))</f>
        <v>1</v>
      </c>
      <c r="I22" s="557">
        <f>IF($AC$9=6,1,IF($D22=1,$D22+5,IF($E22=1,$E22+4,IF($F22=1,$F22+3,IF($G22=1,$G22+2,IF($H22=1,H22+1," "))))))</f>
        <v>2</v>
      </c>
      <c r="J22" s="558">
        <f>IF($AC$9=0,1,IF($D22=1,$D22+6,IF($E22=1,$E22+5,IF($F22=1,$F22+4,IF($G22=1,$G22+3,IF($H22=1,$H22+2,IF($I22=1,$I22+1," ")))))))</f>
        <v>3</v>
      </c>
      <c r="K22" s="553">
        <f>IF(DAY(MAX(D22:J22))&lt;&gt;0,NETWORKDAYS(DATE($W$4,$A26,1),DATE($W$4,$A26,DAY(MAX(D22:J22))),$D$68:$D$92),0)</f>
        <v>1</v>
      </c>
      <c r="L22" s="534">
        <f>IF(DAY(MAX(D22:J22))&lt;&gt;0,NETWORKDAYS(DATE($W$4,$A$26,1),DATE($W$4,$A$26,DAY(MAX(D22:J22))),$A$101:$A$231),0)</f>
        <v>1</v>
      </c>
      <c r="M22" s="1034" t="s">
        <v>930</v>
      </c>
      <c r="N22" s="322"/>
      <c r="O22" s="938" t="s">
        <v>57</v>
      </c>
      <c r="P22" s="556">
        <f>IF(Q22&lt;&gt;" ",P21+1,P21)</f>
        <v>35</v>
      </c>
      <c r="Q22" s="559" t="str">
        <f>IF($AC$15=1,1," ")</f>
        <v xml:space="preserve"> </v>
      </c>
      <c r="R22" s="559" t="str">
        <f>IF($AC$15=2,1,IF(Q22=1,Q22+1," "))</f>
        <v xml:space="preserve"> </v>
      </c>
      <c r="S22" s="559" t="str">
        <f>IF(AC15=3,1,IF(Q22=1,Q22+2,IF(R22=1,R22+1," ")))</f>
        <v xml:space="preserve"> </v>
      </c>
      <c r="T22" s="559" t="str">
        <f>IF($AC$15=4,1,IF($Q22=1,$Q22+3,IF($R22=1,$R22+2,IF($S22=1,$S22+1," "))))</f>
        <v xml:space="preserve"> </v>
      </c>
      <c r="U22" s="559" t="str">
        <f>IF($AC$15=5,1,IF($Q22=1,$Q22+4,IF($R22=1,$R22+3,IF($S22=1,$S22+2,IF($T22=1,$T22+1," ")))))</f>
        <v xml:space="preserve"> </v>
      </c>
      <c r="V22" s="559" t="str">
        <f>IF($AC$15=6,1,IF($Q22=1,$Q22+5,IF($R22=1,$R22+4,IF($S22=1,$S22+3,IF($T22=1,$T22+2,IF($U22=1,U22+1," "))))))</f>
        <v xml:space="preserve"> </v>
      </c>
      <c r="W22" s="560">
        <f>IF($AC$15=0,1,IF($Q22=1,$Q22+6,IF($R22=1,$R22+5,IF($S22=1,$S22+4,IF($T22=1,$T22+3,IF($U22=1,$U22+2,IF($V22=1,$V22+1," ")))))))</f>
        <v>1</v>
      </c>
      <c r="X22" s="553">
        <f>IF(DAY(MAX(Q22:W22))&lt;&gt;0,NETWORKDAYS(DATE($W$4,$N26,1),DATE($W$4,$N26,DAY(MAX(Q22:W22))),$D$68:$D$92),0)</f>
        <v>0</v>
      </c>
      <c r="Y22" s="534">
        <f>IF(DAY(MAX(Q22:W22))&lt;&gt;0,NETWORKDAYS(DATE($W$4,$N$26,1),DATE($W$4,$N$26,DAY(MAX(Q22:W22))),$A$101:$A$231),0)</f>
        <v>0</v>
      </c>
      <c r="Z22" s="1034" t="s">
        <v>930</v>
      </c>
      <c r="AA22" s="728"/>
      <c r="AB22" s="952"/>
      <c r="AC22" s="952"/>
      <c r="AD22" s="952"/>
      <c r="AE22" s="6"/>
      <c r="AF22" s="6"/>
      <c r="AG22" s="6"/>
      <c r="AH22" s="6"/>
      <c r="AI22" s="6" t="s">
        <v>11</v>
      </c>
      <c r="AJ22" s="6">
        <f ca="1">MONTH(AA4)</f>
        <v>12</v>
      </c>
      <c r="AK22" s="206">
        <v>3</v>
      </c>
      <c r="AL22" s="6">
        <v>2</v>
      </c>
      <c r="AM22" s="7" t="s">
        <v>100</v>
      </c>
      <c r="AN22" s="6"/>
      <c r="AP22" s="3">
        <v>2</v>
      </c>
      <c r="AQ22" s="3">
        <v>28</v>
      </c>
      <c r="AR22" s="3">
        <f>AQ22+AR21</f>
        <v>59</v>
      </c>
      <c r="AS22" s="3">
        <v>29</v>
      </c>
      <c r="AT22" s="3">
        <f>AS22+AT21</f>
        <v>60</v>
      </c>
      <c r="AU22" s="6" t="s">
        <v>114</v>
      </c>
    </row>
    <row r="23" spans="1:47" ht="12.75" customHeight="1">
      <c r="B23" s="941"/>
      <c r="C23" s="537">
        <f>C22+1</f>
        <v>10</v>
      </c>
      <c r="D23" s="538">
        <f>J22+1</f>
        <v>4</v>
      </c>
      <c r="E23" s="538">
        <f t="shared" ref="E23:J25" si="7">D23+1</f>
        <v>5</v>
      </c>
      <c r="F23" s="538">
        <f t="shared" si="7"/>
        <v>6</v>
      </c>
      <c r="G23" s="538">
        <f t="shared" si="7"/>
        <v>7</v>
      </c>
      <c r="H23" s="538">
        <f t="shared" si="7"/>
        <v>8</v>
      </c>
      <c r="I23" s="538">
        <f t="shared" si="7"/>
        <v>9</v>
      </c>
      <c r="J23" s="539">
        <f t="shared" si="7"/>
        <v>10</v>
      </c>
      <c r="K23" s="540">
        <f>IF(DAY(MAX(D23:J23))&lt;&gt;0,NETWORKDAYS(DATE($W$4,$A26,DAY(D23)),DATE($W$4,$A26,DAY(MAX(D23:J23))),$D$68:$D$92),0)</f>
        <v>4</v>
      </c>
      <c r="L23" s="541">
        <f>IF(DAY(MAX(D23:J23))&lt;&gt;0,NETWORKDAYS(DATE($W$4,$A$26,DAY(D23)),DATE($W$4,$A$26,DAY(MAX(D23:J23))),$A$101:$A$231),0)</f>
        <v>4</v>
      </c>
      <c r="M23" s="1032"/>
      <c r="N23" s="322"/>
      <c r="O23" s="935"/>
      <c r="P23" s="537">
        <f>P22+1</f>
        <v>36</v>
      </c>
      <c r="Q23" s="542">
        <f>W22+1</f>
        <v>2</v>
      </c>
      <c r="R23" s="542">
        <f t="shared" ref="R23:W25" si="8">Q23+1</f>
        <v>3</v>
      </c>
      <c r="S23" s="542">
        <f t="shared" si="8"/>
        <v>4</v>
      </c>
      <c r="T23" s="542">
        <f t="shared" si="8"/>
        <v>5</v>
      </c>
      <c r="U23" s="542">
        <f t="shared" si="8"/>
        <v>6</v>
      </c>
      <c r="V23" s="542">
        <f t="shared" si="8"/>
        <v>7</v>
      </c>
      <c r="W23" s="592">
        <f t="shared" si="8"/>
        <v>8</v>
      </c>
      <c r="X23" s="540">
        <f>IF(DAY(MAX(Q23:W23))&lt;&gt;0,NETWORKDAYS(DATE($W$4,$N26,DAY(Q23)),DATE($W$4,$N26,DAY(MAX(Q23:W23))),$D$68:$D$92),0)</f>
        <v>5</v>
      </c>
      <c r="Y23" s="541">
        <f>IF(DAY(MAX(Q23:W23))&lt;&gt;0,NETWORKDAYS(DATE($W$4,$N$26,DAY(Q23)),DATE($W$4,$N$26,DAY(MAX(Q23:W23))),$A$101:$A$231),0)</f>
        <v>0</v>
      </c>
      <c r="Z23" s="1035"/>
      <c r="AA23" s="728"/>
      <c r="AB23" s="952"/>
      <c r="AC23" s="952"/>
      <c r="AD23" s="952"/>
      <c r="AE23" s="6"/>
      <c r="AF23" s="6"/>
      <c r="AG23" s="6"/>
      <c r="AH23" s="6"/>
      <c r="AI23" s="6" t="s">
        <v>11</v>
      </c>
      <c r="AJ23" s="6">
        <f ca="1">IF(AND(AJ21&gt;5,AJ24=0),AJ22,IF(AJ24&gt;0,AJ24,AJ22-1))</f>
        <v>12</v>
      </c>
      <c r="AK23" s="206">
        <v>4</v>
      </c>
      <c r="AL23" s="6">
        <v>3</v>
      </c>
      <c r="AM23" s="7" t="s">
        <v>101</v>
      </c>
      <c r="AN23" s="6"/>
      <c r="AP23" s="3">
        <v>3</v>
      </c>
      <c r="AQ23" s="3">
        <v>31</v>
      </c>
      <c r="AR23" s="3">
        <f t="shared" ref="AR23:AR32" si="9">AQ23+AR22</f>
        <v>90</v>
      </c>
      <c r="AS23" s="3">
        <v>31</v>
      </c>
      <c r="AT23" s="3">
        <f t="shared" ref="AT23:AT32" si="10">AS23+AT22</f>
        <v>91</v>
      </c>
      <c r="AU23" s="6" t="s">
        <v>115</v>
      </c>
    </row>
    <row r="24" spans="1:47" ht="12.75" customHeight="1">
      <c r="B24" s="941"/>
      <c r="C24" s="537">
        <f>C23+1</f>
        <v>11</v>
      </c>
      <c r="D24" s="538">
        <f>J23+1</f>
        <v>11</v>
      </c>
      <c r="E24" s="538">
        <f t="shared" si="7"/>
        <v>12</v>
      </c>
      <c r="F24" s="538">
        <f t="shared" si="7"/>
        <v>13</v>
      </c>
      <c r="G24" s="538">
        <f t="shared" si="7"/>
        <v>14</v>
      </c>
      <c r="H24" s="538">
        <f t="shared" si="7"/>
        <v>15</v>
      </c>
      <c r="I24" s="538">
        <f t="shared" si="7"/>
        <v>16</v>
      </c>
      <c r="J24" s="539">
        <f t="shared" si="7"/>
        <v>17</v>
      </c>
      <c r="K24" s="540">
        <f>IF(DAY(MAX(D24:J24))&lt;&gt;0,NETWORKDAYS(DATE($W$4,$A26,DAY(D24)),DATE($W$4,$A26,DAY(MAX(D24:J24))),$D$68:$D$92),0)</f>
        <v>5</v>
      </c>
      <c r="L24" s="541">
        <f>IF(DAY(MAX(D24:J24))&lt;&gt;0,NETWORKDAYS(DATE($W$4,$A$26,DAY(D24)),DATE($W$4,$A$26,DAY(MAX(D24:J24))),$A$101:$A$231),0)</f>
        <v>5</v>
      </c>
      <c r="M24" s="1032"/>
      <c r="N24" s="322"/>
      <c r="O24" s="935"/>
      <c r="P24" s="537">
        <f>P23+1</f>
        <v>37</v>
      </c>
      <c r="Q24" s="592">
        <f>W23+1</f>
        <v>9</v>
      </c>
      <c r="R24" s="542">
        <f t="shared" si="8"/>
        <v>10</v>
      </c>
      <c r="S24" s="542">
        <f t="shared" si="8"/>
        <v>11</v>
      </c>
      <c r="T24" s="542">
        <f t="shared" si="8"/>
        <v>12</v>
      </c>
      <c r="U24" s="542">
        <f t="shared" si="8"/>
        <v>13</v>
      </c>
      <c r="V24" s="542">
        <f t="shared" si="8"/>
        <v>14</v>
      </c>
      <c r="W24" s="543">
        <f t="shared" si="8"/>
        <v>15</v>
      </c>
      <c r="X24" s="540">
        <f>IF(DAY(MAX(Q24:W24))&lt;&gt;0,NETWORKDAYS(DATE($W$4,$N26,DAY(Q24)),DATE($W$4,$N26,DAY(MAX(Q24:W24))),$D$68:$D$92),0)</f>
        <v>5</v>
      </c>
      <c r="Y24" s="541">
        <f>IF(DAY(MAX(Q24:W24))&lt;&gt;0,NETWORKDAYS(DATE($W$4,$N$26,DAY(Q24)),DATE($W$4,$N$26,DAY(MAX(Q24:W24))),$A$101:$A$231),0)</f>
        <v>4</v>
      </c>
      <c r="Z24" s="1035"/>
      <c r="AA24" s="728" t="s">
        <v>374</v>
      </c>
      <c r="AB24" s="952"/>
      <c r="AC24" s="952"/>
      <c r="AD24" s="952"/>
      <c r="AE24" s="6"/>
      <c r="AF24" s="6"/>
      <c r="AG24" s="6"/>
      <c r="AH24" s="18"/>
      <c r="AI24" s="19"/>
      <c r="AJ24" s="20"/>
      <c r="AK24" s="206">
        <v>5</v>
      </c>
      <c r="AL24" s="6">
        <v>4</v>
      </c>
      <c r="AM24" s="7" t="s">
        <v>102</v>
      </c>
      <c r="AN24" s="6"/>
      <c r="AP24" s="3">
        <v>4</v>
      </c>
      <c r="AQ24" s="3">
        <v>30</v>
      </c>
      <c r="AR24" s="3">
        <f t="shared" si="9"/>
        <v>120</v>
      </c>
      <c r="AS24" s="3">
        <v>30</v>
      </c>
      <c r="AT24" s="3">
        <f t="shared" si="10"/>
        <v>121</v>
      </c>
      <c r="AU24" s="6" t="s">
        <v>116</v>
      </c>
    </row>
    <row r="25" spans="1:47" ht="12.75" customHeight="1">
      <c r="B25" s="941"/>
      <c r="C25" s="537">
        <f>C24+1</f>
        <v>12</v>
      </c>
      <c r="D25" s="538">
        <f>J24+1</f>
        <v>18</v>
      </c>
      <c r="E25" s="538">
        <f t="shared" si="7"/>
        <v>19</v>
      </c>
      <c r="F25" s="538">
        <f t="shared" si="7"/>
        <v>20</v>
      </c>
      <c r="G25" s="538">
        <f t="shared" si="7"/>
        <v>21</v>
      </c>
      <c r="H25" s="538">
        <f t="shared" si="7"/>
        <v>22</v>
      </c>
      <c r="I25" s="538">
        <f t="shared" si="7"/>
        <v>23</v>
      </c>
      <c r="J25" s="539">
        <f t="shared" si="7"/>
        <v>24</v>
      </c>
      <c r="K25" s="540">
        <f>IF(DAY(MAX(D25:J25))&lt;&gt;0,NETWORKDAYS(DATE($W$4,$A26,DAY(D25)),DATE($W$4,$A26,DAY(MAX(D25:J25))),$D$68:$D$92),0)</f>
        <v>4</v>
      </c>
      <c r="L25" s="541">
        <f>IF(DAY(MAX(D25:J25))&lt;&gt;0,NETWORKDAYS(DATE($W$4,$A$26,DAY(D25)),DATE($W$4,$A$26,DAY(MAX(D25:J25))),$A$101:$A$231),0)</f>
        <v>4</v>
      </c>
      <c r="M25" s="1032"/>
      <c r="N25" s="322"/>
      <c r="O25" s="935"/>
      <c r="P25" s="537">
        <f>P24+1</f>
        <v>38</v>
      </c>
      <c r="Q25" s="542">
        <f>W24+1</f>
        <v>16</v>
      </c>
      <c r="R25" s="542">
        <f t="shared" si="8"/>
        <v>17</v>
      </c>
      <c r="S25" s="542">
        <f t="shared" si="8"/>
        <v>18</v>
      </c>
      <c r="T25" s="542">
        <f t="shared" si="8"/>
        <v>19</v>
      </c>
      <c r="U25" s="542">
        <f t="shared" si="8"/>
        <v>20</v>
      </c>
      <c r="V25" s="542">
        <f t="shared" si="8"/>
        <v>21</v>
      </c>
      <c r="W25" s="543">
        <f t="shared" si="8"/>
        <v>22</v>
      </c>
      <c r="X25" s="540">
        <f>IF(DAY(MAX(Q25:W25))&lt;&gt;0,NETWORKDAYS(DATE($W$4,$N26,DAY(Q25)),DATE($W$4,$N26,DAY(MAX(Q25:W25))),$D$68:$D$92),0)</f>
        <v>5</v>
      </c>
      <c r="Y25" s="541">
        <f>IF(DAY(MAX(Q25:W25))&lt;&gt;0,NETWORKDAYS(DATE($W$4,$N$26,DAY(Q25)),DATE($W$4,$N$26,DAY(MAX(Q25:W25))),$A$101:$A$231),0)</f>
        <v>5</v>
      </c>
      <c r="Z25" s="1035"/>
      <c r="AA25" s="6">
        <f>IF(I12&gt;16,I12,I13)</f>
        <v>20</v>
      </c>
      <c r="AB25" s="162"/>
      <c r="AC25" s="162"/>
      <c r="AD25" s="162"/>
      <c r="AE25" s="6"/>
      <c r="AF25" s="6"/>
      <c r="AG25" s="6"/>
      <c r="AH25" s="19"/>
      <c r="AI25" s="19"/>
      <c r="AJ25" s="6"/>
      <c r="AK25" s="206">
        <v>6</v>
      </c>
      <c r="AL25" s="6">
        <v>5</v>
      </c>
      <c r="AM25" s="7" t="s">
        <v>103</v>
      </c>
      <c r="AN25" s="6"/>
      <c r="AP25" s="3">
        <v>5</v>
      </c>
      <c r="AQ25" s="3">
        <v>31</v>
      </c>
      <c r="AR25" s="3">
        <f t="shared" si="9"/>
        <v>151</v>
      </c>
      <c r="AS25" s="3">
        <v>31</v>
      </c>
      <c r="AT25" s="3">
        <f t="shared" si="10"/>
        <v>152</v>
      </c>
      <c r="AU25" s="6" t="s">
        <v>117</v>
      </c>
    </row>
    <row r="26" spans="1:47" ht="12.75" customHeight="1" thickBot="1">
      <c r="A26" s="319">
        <v>3</v>
      </c>
      <c r="B26" s="941"/>
      <c r="C26" s="537">
        <f>C25+1</f>
        <v>13</v>
      </c>
      <c r="D26" s="538">
        <f>J25+1</f>
        <v>25</v>
      </c>
      <c r="E26" s="538">
        <f>D26+1</f>
        <v>26</v>
      </c>
      <c r="F26" s="538">
        <f>IF(E26&lt;31,E26+1," ")</f>
        <v>27</v>
      </c>
      <c r="G26" s="538">
        <f>IF(E26&lt;30,E26+2," ")</f>
        <v>28</v>
      </c>
      <c r="H26" s="538">
        <f>IF(E26&lt;29,E26+3," ")</f>
        <v>29</v>
      </c>
      <c r="I26" s="538">
        <f>IF(E26&lt;28,E26+4," ")</f>
        <v>30</v>
      </c>
      <c r="J26" s="539">
        <f>IF(E26&lt;27,E26+5," ")</f>
        <v>31</v>
      </c>
      <c r="K26" s="540">
        <f>IF(DAY(MAX(D26:J26))&lt;&gt;0,NETWORKDAYS(DATE($W$4,$A26,DAY(D26)),DATE($W$4,$A26,DAY(MAX(D26:J26))),$D$68:$D$92),0)</f>
        <v>3</v>
      </c>
      <c r="L26" s="541">
        <f>IF(DAY(MAX(D26:J26))&lt;&gt;0,NETWORKDAYS(DATE($W$4,$A$26,DAY(D26)),DATE($W$4,$A$26,DAY(MAX(D26:J26))),$A$101:$A$231),0)</f>
        <v>3</v>
      </c>
      <c r="M26" s="1033"/>
      <c r="N26" s="322">
        <v>9</v>
      </c>
      <c r="O26" s="935"/>
      <c r="P26" s="537">
        <f>P25+1</f>
        <v>39</v>
      </c>
      <c r="Q26" s="542">
        <f>W25+1</f>
        <v>23</v>
      </c>
      <c r="R26" s="542">
        <f>Q26+1</f>
        <v>24</v>
      </c>
      <c r="S26" s="542">
        <f>IF(R26&lt;30,R26+1," ")</f>
        <v>25</v>
      </c>
      <c r="T26" s="542">
        <f>IF(R26&lt;29,R26+2," ")</f>
        <v>26</v>
      </c>
      <c r="U26" s="542">
        <f>IF(R26&lt;28,R26+3," ")</f>
        <v>27</v>
      </c>
      <c r="V26" s="542">
        <f>IF(R26&lt;27,R26+4," ")</f>
        <v>28</v>
      </c>
      <c r="W26" s="543">
        <f>IF(R26&lt;26,R26+5," ")</f>
        <v>29</v>
      </c>
      <c r="X26" s="540">
        <f>IF(DAY(MAX(Q26:W26))&lt;&gt;0,NETWORKDAYS(DATE($W$4,$N26,DAY(Q26)),DATE($W$4,$N26,DAY(MAX(Q26:W26))),$D$68:$D$92),0)</f>
        <v>5</v>
      </c>
      <c r="Y26" s="541">
        <f>IF(DAY(MAX(Q26:W26))&lt;&gt;0,NETWORKDAYS(DATE($W$4,$N$26,DAY(Q26)),DATE($W$4,$N$26,DAY(MAX(Q26:W26))),$A$101:$A$231),0)</f>
        <v>5</v>
      </c>
      <c r="Z26" s="1036"/>
      <c r="AA26" s="6">
        <f>AA25+1</f>
        <v>21</v>
      </c>
      <c r="AB26" s="162"/>
      <c r="AC26" s="162"/>
      <c r="AD26" s="162"/>
      <c r="AE26" s="6"/>
      <c r="AF26" s="6"/>
      <c r="AG26" s="6"/>
      <c r="AH26" s="19"/>
      <c r="AI26" s="19"/>
      <c r="AJ26" s="6"/>
      <c r="AK26" s="206">
        <v>7</v>
      </c>
      <c r="AL26" s="6">
        <v>6</v>
      </c>
      <c r="AM26" s="7" t="s">
        <v>104</v>
      </c>
      <c r="AN26" s="6"/>
      <c r="AP26" s="3">
        <v>6</v>
      </c>
      <c r="AQ26" s="3">
        <v>30</v>
      </c>
      <c r="AR26" s="3">
        <f t="shared" si="9"/>
        <v>181</v>
      </c>
      <c r="AS26" s="3">
        <v>30</v>
      </c>
      <c r="AT26" s="3">
        <f t="shared" si="10"/>
        <v>182</v>
      </c>
      <c r="AU26" s="6" t="s">
        <v>118</v>
      </c>
    </row>
    <row r="27" spans="1:47" ht="14.25" customHeight="1" thickBot="1">
      <c r="A27" s="319">
        <v>31</v>
      </c>
      <c r="B27" s="990"/>
      <c r="C27" s="546">
        <f>IF(D27=" ",C26,C26+1)</f>
        <v>13</v>
      </c>
      <c r="D27" s="547" t="str">
        <f>IF(J26&lt;31,J26+1," ")</f>
        <v xml:space="preserve"> </v>
      </c>
      <c r="E27" s="547" t="str">
        <f>IF(D27&lt;31,D27+1," ")</f>
        <v xml:space="preserve"> </v>
      </c>
      <c r="F27" s="547" t="str">
        <f>IF(E26&lt;24,E26+8," ")</f>
        <v xml:space="preserve"> </v>
      </c>
      <c r="G27" s="547" t="str">
        <f>IF(F26&lt;24,F26+8," ")</f>
        <v xml:space="preserve"> </v>
      </c>
      <c r="H27" s="547" t="str">
        <f>IF(G26&lt;24,G26+8," ")</f>
        <v xml:space="preserve"> </v>
      </c>
      <c r="I27" s="547" t="str">
        <f>IF(H26&lt;24,H26+8," ")</f>
        <v xml:space="preserve"> </v>
      </c>
      <c r="J27" s="547" t="str">
        <f>IF(I26&lt;24,I26+8," ")</f>
        <v xml:space="preserve"> </v>
      </c>
      <c r="K27" s="548">
        <f>IF(DAY(MAX(D27:J27))&lt;&gt;0,NETWORKDAYS(DATE($W$4,$A26,DAY(D27)),DATE($W$4,$A26,DAY(MAX(D27:J27))),$D$68:$D$92),0)</f>
        <v>0</v>
      </c>
      <c r="L27" s="555">
        <f>IF(DAY(MAX(D27:J27))&lt;&gt;0,NETWORKDAYS(DATE($W$4,$A$26,DAY(D27)),DATE($W$4,$A$26,DAY(MAX(D27:J27))),$A$101:$A$231),0)</f>
        <v>0</v>
      </c>
      <c r="M27" s="597">
        <f>NETWORKDAYS(DATE($W$4,A26,1),DATE($W$4,A26,A27),$A$101:$A$231)</f>
        <v>17</v>
      </c>
      <c r="N27" s="322">
        <v>30</v>
      </c>
      <c r="O27" s="936"/>
      <c r="P27" s="546">
        <f>IF(Q27=" ",P26,P26+1)</f>
        <v>40</v>
      </c>
      <c r="Q27" s="561">
        <f>IF(W26&lt;30,W26+1," ")</f>
        <v>30</v>
      </c>
      <c r="R27" s="561" t="str">
        <f>IF(Q27&lt;30,Q27+1," ")</f>
        <v xml:space="preserve"> </v>
      </c>
      <c r="S27" s="561" t="str">
        <f>IF(R27&lt;30,R27+1," ")</f>
        <v xml:space="preserve"> </v>
      </c>
      <c r="T27" s="561" t="str">
        <f>IF(S27&lt;30,S27+1," ")</f>
        <v xml:space="preserve"> </v>
      </c>
      <c r="U27" s="561" t="str">
        <f>IF(T27&lt;30,T27+1," ")</f>
        <v xml:space="preserve"> </v>
      </c>
      <c r="V27" s="561" t="str">
        <f>IF(U27&lt;30,U27+1," ")</f>
        <v xml:space="preserve"> </v>
      </c>
      <c r="W27" s="561" t="str">
        <f>IF(V27&lt;30,V27+1," ")</f>
        <v xml:space="preserve"> </v>
      </c>
      <c r="X27" s="548">
        <f>IF(DAY(MAX(Q27:W27))&lt;&gt;0,NETWORKDAYS(DATE($W$4,$N26,DAY(Q27)),DATE($W$4,$N26,DAY(MAX(Q27:W27))),$D$68:$D$92),0)</f>
        <v>1</v>
      </c>
      <c r="Y27" s="555">
        <f>IF(DAY(MAX(Q27:W27))&lt;&gt;0,NETWORKDAYS(DATE($W$4,$N$26,DAY(Q27)),DATE($W$4,$N$26,DAY(MAX(Q27:W27))),$A$101:$A$231),0)</f>
        <v>1</v>
      </c>
      <c r="Z27" s="597">
        <f>NETWORKDAYS(DATE($W$4,N26,1),DATE($W$4,N26,N27),$A$101:$A$231)</f>
        <v>15</v>
      </c>
      <c r="AA27" s="728"/>
      <c r="AB27" s="952"/>
      <c r="AC27" s="952"/>
      <c r="AD27" s="952"/>
      <c r="AE27" s="217" t="s">
        <v>35</v>
      </c>
      <c r="AF27" s="6"/>
      <c r="AG27" s="6"/>
      <c r="AH27" s="19"/>
      <c r="AI27" s="19"/>
      <c r="AJ27" s="6"/>
      <c r="AK27" s="206">
        <v>0</v>
      </c>
      <c r="AL27" s="6">
        <v>7</v>
      </c>
      <c r="AM27" s="7" t="s">
        <v>105</v>
      </c>
      <c r="AN27" s="6"/>
      <c r="AP27" s="3">
        <v>7</v>
      </c>
      <c r="AQ27" s="3">
        <v>31</v>
      </c>
      <c r="AR27" s="3">
        <f t="shared" si="9"/>
        <v>212</v>
      </c>
      <c r="AS27" s="3">
        <v>31</v>
      </c>
      <c r="AT27" s="3">
        <f t="shared" si="10"/>
        <v>213</v>
      </c>
      <c r="AU27" s="6" t="s">
        <v>119</v>
      </c>
    </row>
    <row r="28" spans="1:47" ht="12.75" customHeight="1">
      <c r="B28" s="951" t="s">
        <v>16</v>
      </c>
      <c r="C28" s="530">
        <f>IF(D28&lt;&gt;" ",C27+1,C27)</f>
        <v>14</v>
      </c>
      <c r="D28" s="562">
        <f>IF($AC$10=1,1," ")</f>
        <v>1</v>
      </c>
      <c r="E28" s="562">
        <f>IF($AC$10=2,1,IF(D28=1,D28+1," "))</f>
        <v>2</v>
      </c>
      <c r="F28" s="562">
        <f>IF($AC$10=3,1,IF(D28=1,D28+2,IF(E28=1,E28+1," ")))</f>
        <v>3</v>
      </c>
      <c r="G28" s="562">
        <f>IF($AC$10=4,1,IF($D28=1,$D28+3,IF($E28=1,$E28+2,IF($F28=1,$F28+1," "))))</f>
        <v>4</v>
      </c>
      <c r="H28" s="562">
        <f>IF($AC$10=5,1,IF($D28=1,$D28+4,IF($E28=1,$E28+3,IF($F28=1,$F28+2,IF($G28=1,$G28+1," ")))))</f>
        <v>5</v>
      </c>
      <c r="I28" s="562">
        <f>IF($AC$10=6,1,IF($D28=1,$D28+5,IF($E28=1,$E28+4,IF($F28=1,$F28+3,IF($G28=1,$G28+2,IF($H28=1,H28+1," "))))))</f>
        <v>6</v>
      </c>
      <c r="J28" s="563">
        <f>IF($AC$10=0,1,IF($D28=1,$D28+6,IF($E28=1,$E28+5,IF($F28=1,$F28+4,IF($G28=1,$G28+3,IF($H28=1,$H28+2,IF($I28=1,$I28+1," ")))))))</f>
        <v>7</v>
      </c>
      <c r="K28" s="553">
        <f>IF(DAY(MAX(D28:J28))&lt;&gt;0,NETWORKDAYS(DATE($W$4,$A32,1),DATE($W$4,$A32,DAY(MAX(D28:J28))),$D$68:$D$92),0)</f>
        <v>4</v>
      </c>
      <c r="L28" s="534">
        <f>IF(DAY(MAX(D28:J28))&lt;&gt;0,NETWORKDAYS(DATE($W$4,$A$32,1),DATE($W$4,$A$32,DAY(MAX(D28:J28))),$A$101:$A$231),0)</f>
        <v>0</v>
      </c>
      <c r="M28" s="1034" t="s">
        <v>930</v>
      </c>
      <c r="N28" s="322"/>
      <c r="O28" s="934" t="s">
        <v>60</v>
      </c>
      <c r="P28" s="530">
        <f>IF(Q28&lt;&gt;" ",P27+1,P27)</f>
        <v>40</v>
      </c>
      <c r="Q28" s="564" t="str">
        <f>IF($AC$16=1,1," ")</f>
        <v xml:space="preserve"> </v>
      </c>
      <c r="R28" s="564">
        <f>IF($AC$16=2,1,IF(Q28=1,Q28+1," "))</f>
        <v>1</v>
      </c>
      <c r="S28" s="564">
        <f>IF($AC$16=3,1,IF(Q28=1,Q28+2,IF(R28=1,R28+1," ")))</f>
        <v>2</v>
      </c>
      <c r="T28" s="564">
        <f>IF($AC$16=4,1,IF($Q28=1,$Q28+3,IF($R28=1,$R28+2,IF($S28=1,$S28+1," "))))</f>
        <v>3</v>
      </c>
      <c r="U28" s="564">
        <f>IF($AC$16=5,1,IF($Q28=1,$Q28+4+AD20,IF($R28=1,$R28+3,IF($S28=1,$S28+2,IF($T28=1,$T28+1," ")))))</f>
        <v>4</v>
      </c>
      <c r="V28" s="564">
        <f>IF($AC$16=6,1,IF($Q28=1,$Q28+5+AD20,IF($R28=1,$R28+4,IF($S28=1,$S28+3,IF($T28=1,$T28+2,IF($U28=1,U28+1," "))))))</f>
        <v>5</v>
      </c>
      <c r="W28" s="565">
        <f>IF($AC$16=0,1,IF($Q28=1,$Q28+6+AD20,IF($R28=1,$R28+5,IF($S28=1,$S28+4,IF($T28=1,$T28+3,IF($U28=1,$U28+2,IF($V28=1,$V28+1," ")))))))</f>
        <v>6</v>
      </c>
      <c r="X28" s="553">
        <f>IF(DAY(MAX(Q28:W28))&lt;&gt;0,NETWORKDAYS(DATE($W$4,$N32,1),DATE($W$4,$N32,DAY(MAX(Q28:W28))),$D$68:$D$92),0)</f>
        <v>4</v>
      </c>
      <c r="Y28" s="534">
        <f>IF(DAY(MAX(Q28:W28))&lt;&gt;0,NETWORKDAYS(DATE($W$4,$N$32,1),DATE($W$4,$N$32,DAY(MAX(Q28:W28))),$A$101:$A$231),0)</f>
        <v>4</v>
      </c>
      <c r="Z28" s="1034" t="s">
        <v>930</v>
      </c>
      <c r="AA28" s="728" t="s">
        <v>742</v>
      </c>
      <c r="AB28" s="728"/>
      <c r="AC28" s="728"/>
      <c r="AD28" s="728"/>
      <c r="AE28" s="6" t="str">
        <f>IF(AC29=1,AD29,"no")</f>
        <v>no</v>
      </c>
      <c r="AF28" s="6"/>
      <c r="AG28" s="6"/>
      <c r="AH28" s="19"/>
      <c r="AI28" s="24"/>
      <c r="AJ28" s="6"/>
      <c r="AK28" s="6"/>
      <c r="AL28" s="6"/>
      <c r="AM28" s="6"/>
      <c r="AN28" s="6"/>
      <c r="AP28" s="3">
        <v>8</v>
      </c>
      <c r="AQ28" s="3">
        <v>31</v>
      </c>
      <c r="AR28" s="3">
        <f t="shared" si="9"/>
        <v>243</v>
      </c>
      <c r="AS28" s="3">
        <v>31</v>
      </c>
      <c r="AT28" s="3">
        <f t="shared" si="10"/>
        <v>244</v>
      </c>
      <c r="AU28" s="6" t="s">
        <v>120</v>
      </c>
    </row>
    <row r="29" spans="1:47" ht="12.75" customHeight="1">
      <c r="B29" s="941"/>
      <c r="C29" s="537">
        <f>C28+1</f>
        <v>15</v>
      </c>
      <c r="D29" s="566">
        <f>J28+1</f>
        <v>8</v>
      </c>
      <c r="E29" s="566">
        <f t="shared" ref="E29:J31" si="11">D29+1</f>
        <v>9</v>
      </c>
      <c r="F29" s="566">
        <f t="shared" si="11"/>
        <v>10</v>
      </c>
      <c r="G29" s="566">
        <f t="shared" si="11"/>
        <v>11</v>
      </c>
      <c r="H29" s="566">
        <f t="shared" si="11"/>
        <v>12</v>
      </c>
      <c r="I29" s="566">
        <f t="shared" si="11"/>
        <v>13</v>
      </c>
      <c r="J29" s="567">
        <f t="shared" si="11"/>
        <v>14</v>
      </c>
      <c r="K29" s="540">
        <f>IF(DAY(MAX(D29:J29))&lt;&gt;0,NETWORKDAYS(DATE($W$4,$A32,DAY(D29)),DATE($W$4,$A32,DAY(MAX(D29:J29))),$D$68:$D$92),0)</f>
        <v>4</v>
      </c>
      <c r="L29" s="541">
        <f>IF(DAY(MAX(D29:J29))&lt;&gt;0,NETWORKDAYS(DATE($W$4,$A$32,DAY(D29)),DATE($W$4,$A$32,DAY(MAX(D29:J29))),$A$101:$A$231),0)</f>
        <v>4</v>
      </c>
      <c r="M29" s="1032"/>
      <c r="N29" s="322"/>
      <c r="O29" s="935"/>
      <c r="P29" s="537">
        <f>P28+1</f>
        <v>41</v>
      </c>
      <c r="Q29" s="568">
        <f>W28+1</f>
        <v>7</v>
      </c>
      <c r="R29" s="568">
        <f t="shared" ref="R29:W30" si="12">Q29+1</f>
        <v>8</v>
      </c>
      <c r="S29" s="568">
        <f t="shared" si="12"/>
        <v>9</v>
      </c>
      <c r="T29" s="568">
        <f t="shared" si="12"/>
        <v>10</v>
      </c>
      <c r="U29" s="568">
        <f t="shared" si="12"/>
        <v>11</v>
      </c>
      <c r="V29" s="568">
        <f t="shared" si="12"/>
        <v>12</v>
      </c>
      <c r="W29" s="569">
        <f t="shared" si="12"/>
        <v>13</v>
      </c>
      <c r="X29" s="540">
        <f>IF(DAY(MAX(Q29:W29))&lt;&gt;0,NETWORKDAYS(DATE($W$4,$N32,DAY(Q29)),DATE($W$4,$N32,DAY(MAX(Q29:W29))),$D$68:$D$92),0)</f>
        <v>4</v>
      </c>
      <c r="Y29" s="541">
        <f>IF(DAY(MAX(Q29:W29))&lt;&gt;0,NETWORKDAYS(DATE($W$4,$N$32,DAY(Q29)),DATE($W$4,$N$32,DAY(MAX(Q29:W29))),$A$101:$A$231),0)</f>
        <v>4</v>
      </c>
      <c r="Z29" s="1035"/>
      <c r="AA29" s="946">
        <f>C53</f>
        <v>45336</v>
      </c>
      <c r="AB29" s="930"/>
      <c r="AC29" s="11">
        <f>MONTH(AA29)</f>
        <v>2</v>
      </c>
      <c r="AD29" s="6">
        <f>IF(AC29=2,DAY(AA29),"NO")</f>
        <v>14</v>
      </c>
      <c r="AE29" s="217" t="s">
        <v>34</v>
      </c>
      <c r="AF29" s="19"/>
      <c r="AG29" s="18" t="s">
        <v>13</v>
      </c>
      <c r="AH29" s="19"/>
      <c r="AI29" s="19"/>
      <c r="AJ29" s="6"/>
      <c r="AK29" s="6"/>
      <c r="AL29" s="6"/>
      <c r="AM29" s="6"/>
      <c r="AN29" s="6"/>
      <c r="AP29" s="3">
        <v>9</v>
      </c>
      <c r="AQ29" s="3">
        <v>30</v>
      </c>
      <c r="AR29" s="3">
        <f t="shared" si="9"/>
        <v>273</v>
      </c>
      <c r="AS29" s="3">
        <v>30</v>
      </c>
      <c r="AT29" s="3">
        <f t="shared" si="10"/>
        <v>274</v>
      </c>
      <c r="AU29" s="6" t="s">
        <v>121</v>
      </c>
    </row>
    <row r="30" spans="1:47" ht="12.75" customHeight="1">
      <c r="B30" s="941"/>
      <c r="C30" s="537">
        <f>C29+1</f>
        <v>16</v>
      </c>
      <c r="D30" s="566">
        <f>J29+1</f>
        <v>15</v>
      </c>
      <c r="E30" s="566">
        <f t="shared" si="11"/>
        <v>16</v>
      </c>
      <c r="F30" s="566">
        <f t="shared" si="11"/>
        <v>17</v>
      </c>
      <c r="G30" s="566">
        <f t="shared" si="11"/>
        <v>18</v>
      </c>
      <c r="H30" s="566">
        <f t="shared" si="11"/>
        <v>19</v>
      </c>
      <c r="I30" s="566">
        <f t="shared" si="11"/>
        <v>20</v>
      </c>
      <c r="J30" s="567">
        <f t="shared" si="11"/>
        <v>21</v>
      </c>
      <c r="K30" s="540">
        <f>IF(DAY(MAX(D30:J30))&lt;&gt;0,NETWORKDAYS(DATE($W$4,$A32,DAY(D30)),DATE($W$4,$A32,DAY(MAX(D30:J30))),$D$68:$D$92),0)</f>
        <v>5</v>
      </c>
      <c r="L30" s="541">
        <f>IF(DAY(MAX(D30:J30))&lt;&gt;0,NETWORKDAYS(DATE($W$4,$A$32,DAY(D30)),DATE($W$4,$A$32,DAY(MAX(D30:J30))),$A$101:$A$231),0)</f>
        <v>5</v>
      </c>
      <c r="M30" s="1032"/>
      <c r="N30" s="322"/>
      <c r="O30" s="935"/>
      <c r="P30" s="537">
        <f>P29+1</f>
        <v>42</v>
      </c>
      <c r="Q30" s="568">
        <f>W29+1</f>
        <v>14</v>
      </c>
      <c r="R30" s="568">
        <f t="shared" si="12"/>
        <v>15</v>
      </c>
      <c r="S30" s="568">
        <f t="shared" si="12"/>
        <v>16</v>
      </c>
      <c r="T30" s="568">
        <f t="shared" si="12"/>
        <v>17</v>
      </c>
      <c r="U30" s="568">
        <f t="shared" si="12"/>
        <v>18</v>
      </c>
      <c r="V30" s="568">
        <f t="shared" si="12"/>
        <v>19</v>
      </c>
      <c r="W30" s="569">
        <f t="shared" si="12"/>
        <v>20</v>
      </c>
      <c r="X30" s="540">
        <f>IF(DAY(MAX(Q30:W30))&lt;&gt;0,NETWORKDAYS(DATE($W$4,$N32,DAY(Q30)),DATE($W$4,$N32,DAY(MAX(Q30:W30))),$D$68:$D$92),0)</f>
        <v>5</v>
      </c>
      <c r="Y30" s="541">
        <f>IF(DAY(MAX(Q30:W30))&lt;&gt;0,NETWORKDAYS(DATE($W$4,$N$32,DAY(Q30)),DATE($W$4,$N$32,DAY(MAX(Q30:W30))),$A$101:$A$231),0)</f>
        <v>5</v>
      </c>
      <c r="Z30" s="1035"/>
      <c r="AA30" s="27">
        <f>C54</f>
        <v>0</v>
      </c>
      <c r="AB30" s="11">
        <f>D54</f>
        <v>3</v>
      </c>
      <c r="AC30" s="11">
        <f>MONTH(AA29)</f>
        <v>2</v>
      </c>
      <c r="AD30" s="6" t="str">
        <f>IF(AC29=3,DAY(AA29),"NO ")</f>
        <v xml:space="preserve">NO </v>
      </c>
      <c r="AE30" s="217" t="s">
        <v>36</v>
      </c>
      <c r="AF30" s="6"/>
      <c r="AG30" s="18" t="s">
        <v>14</v>
      </c>
      <c r="AH30" s="6">
        <f>pascua!$G$23</f>
        <v>31</v>
      </c>
      <c r="AI30" s="18" t="str">
        <f>pascua!$H$23</f>
        <v>MARZO</v>
      </c>
      <c r="AJ30" s="6"/>
      <c r="AK30" s="6">
        <f>31+28+AI11+AH30</f>
        <v>91</v>
      </c>
      <c r="AL30" s="6">
        <f>MOD(AK30,7)</f>
        <v>0</v>
      </c>
      <c r="AM30" s="6">
        <f>IF(AL30=0,1,8-AL30)</f>
        <v>1</v>
      </c>
      <c r="AN30" s="6"/>
      <c r="AP30" s="3">
        <v>10</v>
      </c>
      <c r="AQ30" s="3">
        <v>31</v>
      </c>
      <c r="AR30" s="3">
        <f t="shared" si="9"/>
        <v>304</v>
      </c>
      <c r="AS30" s="3">
        <v>31</v>
      </c>
      <c r="AT30" s="3">
        <f t="shared" si="10"/>
        <v>305</v>
      </c>
      <c r="AU30" s="6" t="s">
        <v>122</v>
      </c>
    </row>
    <row r="31" spans="1:47" ht="12.75" customHeight="1">
      <c r="B31" s="941"/>
      <c r="C31" s="537">
        <f>C30+1</f>
        <v>17</v>
      </c>
      <c r="D31" s="566">
        <f>J30+1</f>
        <v>22</v>
      </c>
      <c r="E31" s="566">
        <f t="shared" si="11"/>
        <v>23</v>
      </c>
      <c r="F31" s="566">
        <f t="shared" si="11"/>
        <v>24</v>
      </c>
      <c r="G31" s="566">
        <f t="shared" si="11"/>
        <v>25</v>
      </c>
      <c r="H31" s="566">
        <f t="shared" si="11"/>
        <v>26</v>
      </c>
      <c r="I31" s="566">
        <f t="shared" si="11"/>
        <v>27</v>
      </c>
      <c r="J31" s="567">
        <f t="shared" si="11"/>
        <v>28</v>
      </c>
      <c r="K31" s="540">
        <f>IF(DAY(MAX(D31:J31))&lt;&gt;0,NETWORKDAYS(DATE($W$4,$A32,DAY(D31)),DATE($W$4,$A32,DAY(MAX(D31:J31))),$D$68:$D$92),0)</f>
        <v>5</v>
      </c>
      <c r="L31" s="541">
        <f>IF(DAY(MAX(D31:J31))&lt;&gt;0,NETWORKDAYS(DATE($W$4,$A$32,DAY(D31)),DATE($W$4,$A$32,DAY(MAX(D31:J31))),$A$101:$A$231),0)</f>
        <v>5</v>
      </c>
      <c r="M31" s="1032"/>
      <c r="N31" s="322"/>
      <c r="O31" s="935"/>
      <c r="P31" s="537">
        <f>IF(Q31&lt;&gt;0,P30+1,P30)</f>
        <v>43</v>
      </c>
      <c r="Q31" s="568">
        <f>IF(W30+1&lt;32,W30+1,0)</f>
        <v>21</v>
      </c>
      <c r="R31" s="568">
        <f>IF(Q31&lt;&gt;0,Q31+1,0)</f>
        <v>22</v>
      </c>
      <c r="S31" s="568">
        <f>IF(Q31&lt;&gt;0,R31+1,0)</f>
        <v>23</v>
      </c>
      <c r="T31" s="568">
        <f>IF(Q31&lt;&gt;0,S31+1,0)</f>
        <v>24</v>
      </c>
      <c r="U31" s="568">
        <f>IF(Q31&lt;&gt;0,T31+1,0)</f>
        <v>25</v>
      </c>
      <c r="V31" s="568">
        <f>IF(Q31&lt;&gt;0,U31+1,0)</f>
        <v>26</v>
      </c>
      <c r="W31" s="569">
        <f>IF(Q31&lt;&gt;0,V31+1,0)</f>
        <v>27</v>
      </c>
      <c r="X31" s="540">
        <f>IF(DAY(MAX(Q31:W31))&lt;&gt;0,NETWORKDAYS(DATE($W$4,$N32,DAY(Q31)),DATE($W$4,$N32,DAY(MAX(Q31:W31))),$D$68:$D$92),0)</f>
        <v>5</v>
      </c>
      <c r="Y31" s="541">
        <f>IF(DAY(MAX(Q31:W31))&lt;&gt;0,NETWORKDAYS(DATE($W$4,$N$32,DAY(Q31)),DATE($W$4,$N$32,DAY(MAX(Q31:W31))),$A$101:$A$231),0)</f>
        <v>5</v>
      </c>
      <c r="Z31" s="1035"/>
      <c r="AA31" s="6"/>
      <c r="AB31" s="22"/>
      <c r="AC31" s="6"/>
      <c r="AD31" s="6"/>
      <c r="AE31" s="6"/>
      <c r="AF31" s="6"/>
      <c r="AG31" s="18" t="s">
        <v>16</v>
      </c>
      <c r="AH31" s="6">
        <f>pascua!$G$23</f>
        <v>31</v>
      </c>
      <c r="AI31" s="18" t="str">
        <f>pascua!$H$23</f>
        <v>MARZO</v>
      </c>
      <c r="AJ31" s="6"/>
      <c r="AK31" s="6">
        <f>IF(AI31="ABRIL",31+28+AI11+31+AH31,AK30)</f>
        <v>91</v>
      </c>
      <c r="AL31" s="6">
        <f>MOD(AK31,7)</f>
        <v>0</v>
      </c>
      <c r="AM31" s="6">
        <f>IF(AL31=0,1,8-AL31)</f>
        <v>1</v>
      </c>
      <c r="AN31" s="6"/>
      <c r="AP31" s="3">
        <v>11</v>
      </c>
      <c r="AQ31" s="3">
        <v>30</v>
      </c>
      <c r="AR31" s="3">
        <f t="shared" si="9"/>
        <v>334</v>
      </c>
      <c r="AS31" s="3">
        <v>30</v>
      </c>
      <c r="AT31" s="3">
        <f t="shared" si="10"/>
        <v>335</v>
      </c>
      <c r="AU31" s="6" t="s">
        <v>123</v>
      </c>
    </row>
    <row r="32" spans="1:47" ht="12.75" customHeight="1" thickBot="1">
      <c r="A32" s="319">
        <v>4</v>
      </c>
      <c r="B32" s="941"/>
      <c r="C32" s="537">
        <f>C31+1</f>
        <v>18</v>
      </c>
      <c r="D32" s="566">
        <f>J31+1</f>
        <v>29</v>
      </c>
      <c r="E32" s="566">
        <f>D32+1</f>
        <v>30</v>
      </c>
      <c r="F32" s="566" t="str">
        <f>IF(E32&lt;30,E32+1," ")</f>
        <v xml:space="preserve"> </v>
      </c>
      <c r="G32" s="566" t="str">
        <f>IF(E32&lt;29,E32+2," ")</f>
        <v xml:space="preserve"> </v>
      </c>
      <c r="H32" s="566" t="str">
        <f>IF(E32&lt;28,E32+3," ")</f>
        <v xml:space="preserve"> </v>
      </c>
      <c r="I32" s="566" t="str">
        <f>IF(E32&lt;27,E32+4," ")</f>
        <v xml:space="preserve"> </v>
      </c>
      <c r="J32" s="567" t="str">
        <f>IF(E32&lt;26,E32+5," ")</f>
        <v xml:space="preserve"> </v>
      </c>
      <c r="K32" s="540">
        <f>IF(DAY(MAX(D32:J32))&lt;&gt;0,NETWORKDAYS(DATE($W$4,$A32,DAY(D32)),DATE($W$4,$A32,DAY(MAX(D32:J32))),$D$68:$D$92),0)</f>
        <v>2</v>
      </c>
      <c r="L32" s="541">
        <f>IF(DAY(MAX(D32:J32))&lt;&gt;0,NETWORKDAYS(DATE($W$4,$A$32,DAY(D32)),DATE($W$4,$A$32,DAY(MAX(D32:J32))),$A$101:$A$231),0)</f>
        <v>2</v>
      </c>
      <c r="M32" s="1033"/>
      <c r="N32" s="322">
        <v>10</v>
      </c>
      <c r="O32" s="935"/>
      <c r="P32" s="537">
        <f>IF(Q31&lt;&gt;0,P31+1,P31)</f>
        <v>44</v>
      </c>
      <c r="Q32" s="568">
        <f>IF(Q31&lt;&gt;0,W31+1,0)</f>
        <v>28</v>
      </c>
      <c r="R32" s="568">
        <f>IF(Q31&lt;&gt;0,Q32+1,0)</f>
        <v>29</v>
      </c>
      <c r="S32" s="568">
        <f>IF(AND(Q31&lt;&gt;0,R32&lt;31),R32+1," ")</f>
        <v>30</v>
      </c>
      <c r="T32" s="568">
        <f>IF(AND(Q31&lt;&gt;0,R32&lt;30),R32+2," ")</f>
        <v>31</v>
      </c>
      <c r="U32" s="568" t="str">
        <f>IF(AND(Q31&lt;&gt;0,R32&lt;29),R32+3," ")</f>
        <v xml:space="preserve"> </v>
      </c>
      <c r="V32" s="568" t="str">
        <f>IF(AND(Q31&lt;&gt;0,R32&lt;28),R32+4," ")</f>
        <v xml:space="preserve"> </v>
      </c>
      <c r="W32" s="569" t="str">
        <f>IF(AND(Q31&lt;&gt;0,R32&lt;27),R32+5," ")</f>
        <v xml:space="preserve"> </v>
      </c>
      <c r="X32" s="540">
        <f>IF(DAY(MAX(Q32:W32))&lt;&gt;0,NETWORKDAYS(DATE($W$4,$N32,DAY(Q32)),DATE($W$4,$N32,DAY(MAX(Q32:W32))),$D$68:$D$92),0)</f>
        <v>4</v>
      </c>
      <c r="Y32" s="541">
        <f>IF(DAY(MAX(Q32:W32))&lt;&gt;0,NETWORKDAYS(DATE($W$4,$N$32,DAY(Q32)),DATE($W$4,$N$32,DAY(MAX(Q32:W32))),$A$101:$A$231),0)</f>
        <v>4</v>
      </c>
      <c r="Z32" s="1036"/>
      <c r="AA32" s="6">
        <f>MONTH(AA34)</f>
        <v>3</v>
      </c>
      <c r="AB32" s="22">
        <f>DAY(AA34)</f>
        <v>31</v>
      </c>
      <c r="AC32" s="217">
        <f>IF(AA32=3,AB32,"no")</f>
        <v>31</v>
      </c>
      <c r="AD32" s="217" t="str">
        <f>IF(AA32=4,AB32,"no")</f>
        <v>no</v>
      </c>
      <c r="AE32" s="6"/>
      <c r="AF32" s="18"/>
      <c r="AG32" s="18"/>
      <c r="AH32" s="18"/>
      <c r="AI32" s="6">
        <f>IF(AI30="ABRIL",4,3)</f>
        <v>3</v>
      </c>
      <c r="AJ32" s="6"/>
      <c r="AK32" s="6"/>
      <c r="AL32" s="6"/>
      <c r="AM32" s="6"/>
      <c r="AN32" s="6"/>
      <c r="AP32" s="3">
        <v>12</v>
      </c>
      <c r="AQ32" s="3">
        <v>31</v>
      </c>
      <c r="AR32" s="3">
        <f t="shared" si="9"/>
        <v>365</v>
      </c>
      <c r="AS32" s="3">
        <v>31</v>
      </c>
      <c r="AT32" s="3">
        <f t="shared" si="10"/>
        <v>366</v>
      </c>
      <c r="AU32" s="6" t="s">
        <v>124</v>
      </c>
    </row>
    <row r="33" spans="1:49" ht="12.75" customHeight="1" thickBot="1">
      <c r="A33" s="319">
        <v>30</v>
      </c>
      <c r="B33" s="942"/>
      <c r="C33" s="551">
        <f>IF(D33=" ",C32,C32+1)</f>
        <v>18</v>
      </c>
      <c r="D33" s="570" t="str">
        <f>IF(J32&lt;30,J32+1," ")</f>
        <v xml:space="preserve"> </v>
      </c>
      <c r="E33" s="570" t="str">
        <f>IF(D33&lt;30,D33+1," ")</f>
        <v xml:space="preserve"> </v>
      </c>
      <c r="F33" s="570" t="str">
        <f>IF(E33&lt;30,E33+1," ")</f>
        <v xml:space="preserve"> </v>
      </c>
      <c r="G33" s="570" t="str">
        <f>IF(F33&lt;30,F33+1," ")</f>
        <v xml:space="preserve"> </v>
      </c>
      <c r="H33" s="570" t="str">
        <f>IF(G33&lt;30,G33+1," ")</f>
        <v xml:space="preserve"> </v>
      </c>
      <c r="I33" s="570" t="str">
        <f>IF(H33&lt;30,H33+1," ")</f>
        <v xml:space="preserve"> </v>
      </c>
      <c r="J33" s="570" t="str">
        <f>IF(I33&lt;30,I33+1," ")</f>
        <v xml:space="preserve"> </v>
      </c>
      <c r="K33" s="548">
        <f>IF(DAY(MAX(D33:J33))&lt;&gt;0,NETWORKDAYS(DATE($W$4,$A32,DAY(D33)),DATE($W$4,$A32,DAY(MAX(D33:J33))),$D$68:$D$92),0)</f>
        <v>0</v>
      </c>
      <c r="L33" s="555">
        <f>IF(DAY(MAX(D33:J33))&lt;&gt;0,NETWORKDAYS(DATE($W$4,$A$32,DAY(D33)),DATE($W$4,$A$32,DAY(MAX(D33:J33))),$A$101:$A$231),0)</f>
        <v>0</v>
      </c>
      <c r="M33" s="597">
        <f>NETWORKDAYS(DATE($W$4,A32,1),DATE($W$4,A32,A33),$A$101:$A$231)</f>
        <v>16</v>
      </c>
      <c r="N33" s="322">
        <v>31</v>
      </c>
      <c r="O33" s="937"/>
      <c r="P33" s="551">
        <f>IF(Q33=" ",P32,P32+1)</f>
        <v>44</v>
      </c>
      <c r="Q33" s="571" t="str">
        <f>IF(W32&lt;31,W32+1," ")</f>
        <v xml:space="preserve"> </v>
      </c>
      <c r="R33" s="571" t="str">
        <f t="shared" ref="R33:W33" si="13">IF(Q33&lt;31,Q33+1," ")</f>
        <v xml:space="preserve"> </v>
      </c>
      <c r="S33" s="571" t="str">
        <f t="shared" si="13"/>
        <v xml:space="preserve"> </v>
      </c>
      <c r="T33" s="571" t="str">
        <f t="shared" si="13"/>
        <v xml:space="preserve"> </v>
      </c>
      <c r="U33" s="571" t="str">
        <f t="shared" si="13"/>
        <v xml:space="preserve"> </v>
      </c>
      <c r="V33" s="571" t="str">
        <f t="shared" si="13"/>
        <v xml:space="preserve"> </v>
      </c>
      <c r="W33" s="571" t="str">
        <f t="shared" si="13"/>
        <v xml:space="preserve"> </v>
      </c>
      <c r="X33" s="548">
        <f>IF(DAY(MAX(Q33:W33))&lt;&gt;0,NETWORKDAYS(DATE($W$4,$N32,DAY(Q33)),DATE($W$4,$N32,DAY(MAX(Q33:W33))),$D$68:$D$92),0)</f>
        <v>0</v>
      </c>
      <c r="Y33" s="555">
        <f>IF(DAY(MAX(Q33:W33))&lt;&gt;0,NETWORKDAYS(DATE($W$4,$N$32,DAY(Q33)),DATE($W$4,$N$32,DAY(MAX(Q33:W33))),$A$101:$A$231),0)</f>
        <v>0</v>
      </c>
      <c r="Z33" s="597">
        <f>NETWORKDAYS(DATE($W$4,N32,1),DATE($W$4,N32,N33),$A$101:$A$231)</f>
        <v>22</v>
      </c>
      <c r="AA33" s="728" t="s">
        <v>13</v>
      </c>
      <c r="AB33" s="728"/>
      <c r="AC33" s="728"/>
      <c r="AD33" s="6"/>
      <c r="AE33" s="6"/>
      <c r="AF33" s="6"/>
      <c r="AG33" s="6"/>
      <c r="AH33" s="6"/>
      <c r="AI33" s="6"/>
      <c r="AJ33" s="6"/>
      <c r="AK33" s="6"/>
      <c r="AL33" s="6">
        <f>IF(AI31="ABRIL",AM31,AM30)</f>
        <v>1</v>
      </c>
      <c r="AM33" s="6"/>
      <c r="AN33" s="6"/>
      <c r="AO33" s="6"/>
    </row>
    <row r="34" spans="1:49" ht="14.25" customHeight="1">
      <c r="A34" s="320"/>
      <c r="B34" s="951" t="s">
        <v>53</v>
      </c>
      <c r="C34" s="530">
        <f>IF(D34&lt;&gt;" ",C33+1,C33)</f>
        <v>18</v>
      </c>
      <c r="D34" s="562" t="str">
        <f>IF($AC$11=1,1," ")</f>
        <v xml:space="preserve"> </v>
      </c>
      <c r="E34" s="562" t="str">
        <f>IF($AC$11=2,1,IF(D34=1,D34+1," "))</f>
        <v xml:space="preserve"> </v>
      </c>
      <c r="F34" s="562">
        <f>IF($AC$11=3,1,IF(D34=1,D34+2,IF(E34=1,E34+1," ")))</f>
        <v>1</v>
      </c>
      <c r="G34" s="562">
        <f>IF($AC$11=4,1,IF($D34=1,$D34+3,IF($E34=1,$E34+2,IF($F34=1,$F34+1," "))))</f>
        <v>2</v>
      </c>
      <c r="H34" s="562">
        <f>IF($AC$11=5,1,IF($D34=1,$D34+4,IF($E34=1,$E34+3,IF($F34=1,$F34+2,IF($G34=1,$G34+1," ")))))</f>
        <v>3</v>
      </c>
      <c r="I34" s="562">
        <f>IF($AC$11=6,1,IF($D34=1,$D34+5,IF($E34=1,$E34+4,IF($F34=1,$F34+3,IF($G34=1,$G34+2,IF($H34=1,H34+1," "))))))</f>
        <v>4</v>
      </c>
      <c r="J34" s="563">
        <f>IF($AC$11=0,1,IF($D34=1,$D34+6,IF($E34=1,$E34+5,IF($F34=1,$F34+4,IF($G34=1,$G34+3,IF($H34=1,$H34+2,IF($I34=1,$I34+1," ")))))))</f>
        <v>5</v>
      </c>
      <c r="K34" s="553">
        <f>IF(DAY(MAX(D34:J34))&lt;&gt;0,NETWORKDAYS(DATE($W$4,$A38,1),DATE($W$4,$A38,DAY(MAX(D34:J34))),$D$68:$D$92),0)</f>
        <v>2</v>
      </c>
      <c r="L34" s="534">
        <f>IF(DAY(MAX(D34:J34))&lt;&gt;0,NETWORKDAYS(DATE($W$4,$A$38,1),DATE($W$4,$A$38,DAY(MAX(D34:J34))),$A$101:$A$231),0)</f>
        <v>2</v>
      </c>
      <c r="M34" s="1034" t="s">
        <v>930</v>
      </c>
      <c r="N34" s="322"/>
      <c r="O34" s="934" t="s">
        <v>58</v>
      </c>
      <c r="P34" s="556">
        <f>IF(Q34&lt;&gt;" ",P33+1,P33)</f>
        <v>44</v>
      </c>
      <c r="Q34" s="564" t="str">
        <f>IF($AC$17=1,1," ")</f>
        <v xml:space="preserve"> </v>
      </c>
      <c r="R34" s="564" t="str">
        <f>IF($AC$17=2,1,IF(Q34=1,Q34+1," "))</f>
        <v xml:space="preserve"> </v>
      </c>
      <c r="S34" s="564" t="str">
        <f>IF($AC$17=3,1,IF(Q34=1,Q34+2,IF(R34=1,R34+1," ")))</f>
        <v xml:space="preserve"> </v>
      </c>
      <c r="T34" s="564" t="str">
        <f>IF($AC$17=4,1,IF($Q34=1,$Q34+3,IF($R34=1,$R34+2,IF($S34=1,$S34+1," "))))</f>
        <v xml:space="preserve"> </v>
      </c>
      <c r="U34" s="564">
        <f>IF($AC$17=5,1,IF($Q34=1,$Q34+4,IF($R34=1,$R34+3,IF($S34=1,$S34+2,IF($T34=1,$T34+1," ")))))</f>
        <v>1</v>
      </c>
      <c r="V34" s="564">
        <f>IF($AC$17=6,1,IF($Q34=1,$Q34+5,IF($R34=1,$R34+4,IF($S34=1,$S34+3,IF($T34=1,$T34+2,IF($U34=1,U34+1," "))))))</f>
        <v>2</v>
      </c>
      <c r="W34" s="565">
        <f>IF($AC$17=0,1,IF($Q34=1,$Q34+6,IF($R34=1,$R34+5,IF($S34=1,$S34+4,IF($T34=1,$T34+3,IF($U34=1,$U34+2,IF($V34=1,$V34+1," ")))))))</f>
        <v>3</v>
      </c>
      <c r="X34" s="553">
        <f>IF(DAY(MAX(Q34:W34))&lt;&gt;0,NETWORKDAYS(DATE($W$4,$N38,1),DATE($W$4,$N38,DAY(MAX(Q34:W34))),$D$68:$D$92),0)</f>
        <v>0</v>
      </c>
      <c r="Y34" s="534">
        <f>IF(DAY(MAX(Q34:W34))&lt;&gt;0,NETWORKDAYS(DATE($W$4,$N$38,1),DATE($W$4,$N$38,DAY(MAX(Q34:W34))),$A$101:$A$231),0)</f>
        <v>0</v>
      </c>
      <c r="Z34" s="1034" t="s">
        <v>930</v>
      </c>
      <c r="AA34" s="989">
        <f>DATE(AG21,AI32,AH31)</f>
        <v>45382</v>
      </c>
      <c r="AB34" s="989"/>
      <c r="AC34" s="989"/>
      <c r="AD34" s="18">
        <f>WEEKDAY(AA34,2)</f>
        <v>7</v>
      </c>
      <c r="AE34" s="18" t="str">
        <f>IF(AD34=7,"DIUMENTGE"," ")</f>
        <v>DIUMENTGE</v>
      </c>
      <c r="AF34" s="22"/>
      <c r="AG34" s="999" t="s">
        <v>743</v>
      </c>
      <c r="AH34" s="930"/>
      <c r="AI34" s="930"/>
      <c r="AJ34" s="6"/>
      <c r="AK34" s="6"/>
      <c r="AL34" s="6"/>
      <c r="AM34" s="6"/>
      <c r="AN34" s="6"/>
      <c r="AO34" s="6"/>
      <c r="AR34" s="3"/>
    </row>
    <row r="35" spans="1:49" ht="12.75" customHeight="1">
      <c r="A35" s="320"/>
      <c r="B35" s="941"/>
      <c r="C35" s="537">
        <f>C34+1</f>
        <v>19</v>
      </c>
      <c r="D35" s="572">
        <f>J34+1</f>
        <v>6</v>
      </c>
      <c r="E35" s="566">
        <f t="shared" ref="E35:J35" si="14">D35+1</f>
        <v>7</v>
      </c>
      <c r="F35" s="566">
        <f t="shared" si="14"/>
        <v>8</v>
      </c>
      <c r="G35" s="566">
        <f t="shared" si="14"/>
        <v>9</v>
      </c>
      <c r="H35" s="566">
        <f t="shared" si="14"/>
        <v>10</v>
      </c>
      <c r="I35" s="566">
        <f t="shared" si="14"/>
        <v>11</v>
      </c>
      <c r="J35" s="567">
        <f t="shared" si="14"/>
        <v>12</v>
      </c>
      <c r="K35" s="540">
        <f>IF(DAY(MAX(D35:J35))&lt;&gt;0,NETWORKDAYS(DATE($W$4,$A38,DAY(D35)),DATE($W$4,$A38,DAY(MAX(D35:J35))),$D$68:$D$92),0)</f>
        <v>4</v>
      </c>
      <c r="L35" s="541">
        <f>IF(DAY(MAX(D35:J35))&lt;&gt;0,NETWORKDAYS(DATE($W$4,$A$38,DAY(D35)),DATE($W$4,$A$38,DAY(MAX(D35:J35))),$A$101:$A$231),0)</f>
        <v>4</v>
      </c>
      <c r="M35" s="1032"/>
      <c r="N35" s="322"/>
      <c r="O35" s="935"/>
      <c r="P35" s="537">
        <f>P34+1</f>
        <v>45</v>
      </c>
      <c r="Q35" s="568">
        <f>W34+1</f>
        <v>4</v>
      </c>
      <c r="R35" s="568">
        <f t="shared" ref="R35:W37" si="15">Q35+1</f>
        <v>5</v>
      </c>
      <c r="S35" s="568">
        <f t="shared" si="15"/>
        <v>6</v>
      </c>
      <c r="T35" s="568">
        <f t="shared" si="15"/>
        <v>7</v>
      </c>
      <c r="U35" s="568">
        <f t="shared" si="15"/>
        <v>8</v>
      </c>
      <c r="V35" s="568">
        <f t="shared" si="15"/>
        <v>9</v>
      </c>
      <c r="W35" s="569">
        <f t="shared" si="15"/>
        <v>10</v>
      </c>
      <c r="X35" s="540">
        <f>IF(DAY(MAX(Q35:W35))&lt;&gt;0,NETWORKDAYS(DATE($W$4,$N38,DAY(Q35)),DATE($W$4,$N38,DAY(MAX(Q35:W35))),$D$68:$D$92),0)</f>
        <v>5</v>
      </c>
      <c r="Y35" s="541">
        <f>IF(DAY(MAX(Q35:W35))&lt;&gt;0,NETWORKDAYS(DATE($W$4,$N$38,DAY(Q35)),DATE($W$4,$N$38,DAY(MAX(Q35:W35))),$A$101:$A$231),0)</f>
        <v>5</v>
      </c>
      <c r="Z35" s="1035"/>
      <c r="AA35" s="6"/>
      <c r="AB35" s="6"/>
      <c r="AC35" s="6"/>
      <c r="AD35" s="6"/>
      <c r="AE35" s="6"/>
      <c r="AF35" s="22"/>
      <c r="AG35" s="23"/>
      <c r="AH35" s="1003">
        <f>AA34+1</f>
        <v>45383</v>
      </c>
      <c r="AI35" s="924"/>
      <c r="AJ35" s="6"/>
      <c r="AK35" s="6"/>
      <c r="AL35" s="6">
        <f>IF(AL37=-1,30,31)</f>
        <v>31</v>
      </c>
      <c r="AM35" s="6"/>
      <c r="AO35" s="6"/>
      <c r="AP35" s="217" t="s">
        <v>866</v>
      </c>
      <c r="AR35" s="232">
        <f>año!AP2</f>
        <v>28</v>
      </c>
      <c r="AS35" s="232">
        <f>año!AQ2</f>
        <v>28</v>
      </c>
      <c r="AT35" s="232">
        <f>año!AR2</f>
        <v>1</v>
      </c>
      <c r="AU35" s="232" t="str">
        <f>año!AS2</f>
        <v>no</v>
      </c>
      <c r="AV35" s="232" t="str">
        <f>año!AT2</f>
        <v>no</v>
      </c>
      <c r="AW35" s="1" t="str">
        <f>año!AU2</f>
        <v>no</v>
      </c>
    </row>
    <row r="36" spans="1:49" ht="12.75" customHeight="1">
      <c r="B36" s="941"/>
      <c r="C36" s="537">
        <f>C35+1</f>
        <v>20</v>
      </c>
      <c r="D36" s="566">
        <f>J35+1</f>
        <v>13</v>
      </c>
      <c r="E36" s="566">
        <f t="shared" ref="E36:J36" si="16">D36+1</f>
        <v>14</v>
      </c>
      <c r="F36" s="566">
        <f t="shared" si="16"/>
        <v>15</v>
      </c>
      <c r="G36" s="566">
        <f t="shared" si="16"/>
        <v>16</v>
      </c>
      <c r="H36" s="566">
        <f t="shared" si="16"/>
        <v>17</v>
      </c>
      <c r="I36" s="566">
        <f t="shared" si="16"/>
        <v>18</v>
      </c>
      <c r="J36" s="567">
        <f t="shared" si="16"/>
        <v>19</v>
      </c>
      <c r="K36" s="540">
        <f>IF(DAY(MAX(D36:J36))&lt;&gt;0,NETWORKDAYS(DATE($W$4,$A38,DAY(D36)),DATE($W$4,$A38,DAY(MAX(D36:J36))),$D$68:$D$92),0)</f>
        <v>5</v>
      </c>
      <c r="L36" s="541">
        <f>IF(DAY(MAX(D36:J36))&lt;&gt;0,NETWORKDAYS(DATE($W$4,$A$38,DAY(D36)),DATE($W$4,$A$38,DAY(MAX(D36:J36))),$A$101:$A$231),0)</f>
        <v>5</v>
      </c>
      <c r="M36" s="1032"/>
      <c r="N36" s="322"/>
      <c r="O36" s="935"/>
      <c r="P36" s="537">
        <f>P35+1</f>
        <v>46</v>
      </c>
      <c r="Q36" s="568">
        <f>W35+1</f>
        <v>11</v>
      </c>
      <c r="R36" s="568">
        <f t="shared" si="15"/>
        <v>12</v>
      </c>
      <c r="S36" s="568">
        <f t="shared" si="15"/>
        <v>13</v>
      </c>
      <c r="T36" s="568">
        <f t="shared" si="15"/>
        <v>14</v>
      </c>
      <c r="U36" s="568">
        <f t="shared" si="15"/>
        <v>15</v>
      </c>
      <c r="V36" s="568">
        <f t="shared" si="15"/>
        <v>16</v>
      </c>
      <c r="W36" s="569">
        <f t="shared" si="15"/>
        <v>17</v>
      </c>
      <c r="X36" s="540">
        <f>IF(DAY(MAX(Q36:W36))&lt;&gt;0,NETWORKDAYS(DATE($W$4,$N38,DAY(Q36)),DATE($W$4,$N38,DAY(MAX(Q36:W36))),$D$68:$D$92),0)</f>
        <v>4</v>
      </c>
      <c r="Y36" s="541">
        <f>IF(DAY(MAX(Q36:W36))&lt;&gt;0,NETWORKDAYS(DATE($W$4,$N$38,DAY(Q36)),DATE($W$4,$N$38,DAY(MAX(Q36:W36))),$A$101:$A$231),0)</f>
        <v>4</v>
      </c>
      <c r="Z36" s="1035"/>
      <c r="AA36" s="728" t="s">
        <v>18</v>
      </c>
      <c r="AB36" s="728"/>
      <c r="AC36" s="728"/>
      <c r="AD36" s="6"/>
      <c r="AE36" s="6"/>
      <c r="AF36" s="246" t="s">
        <v>864</v>
      </c>
      <c r="AG36" s="217" t="s">
        <v>865</v>
      </c>
      <c r="AH36" s="25"/>
      <c r="AI36" s="6"/>
      <c r="AJ36" s="6">
        <f>IF(AK36="NO","NO",AK36+1)</f>
        <v>32</v>
      </c>
      <c r="AK36" s="6">
        <f>IF($AI$32=3,$AH$31,"NO")</f>
        <v>31</v>
      </c>
      <c r="AL36" s="6">
        <f>IF(AK36&lt;&gt;"NO",AK36-2,IF(AL37&gt;0,"NO",AL35))</f>
        <v>29</v>
      </c>
      <c r="AM36" s="6"/>
      <c r="AO36" s="6"/>
      <c r="AP36" s="217" t="s">
        <v>867</v>
      </c>
      <c r="AR36" s="232">
        <f>año!AP3</f>
        <v>31</v>
      </c>
      <c r="AS36" s="232">
        <f>año!AQ3</f>
        <v>31</v>
      </c>
      <c r="AT36" s="232">
        <f>año!AR3</f>
        <v>8</v>
      </c>
      <c r="AU36" s="232" t="str">
        <f>año!AS3</f>
        <v>no</v>
      </c>
      <c r="AV36" s="232" t="str">
        <f>año!AT3</f>
        <v>no</v>
      </c>
      <c r="AW36" s="1" t="str">
        <f>año!AU3</f>
        <v>no</v>
      </c>
    </row>
    <row r="37" spans="1:49" ht="12.75" customHeight="1">
      <c r="B37" s="941"/>
      <c r="C37" s="537">
        <f>C36+1</f>
        <v>21</v>
      </c>
      <c r="D37" s="566">
        <f>J36+1</f>
        <v>20</v>
      </c>
      <c r="E37" s="566">
        <f t="shared" ref="E37:J37" si="17">D37+1</f>
        <v>21</v>
      </c>
      <c r="F37" s="566">
        <f t="shared" si="17"/>
        <v>22</v>
      </c>
      <c r="G37" s="566">
        <f t="shared" si="17"/>
        <v>23</v>
      </c>
      <c r="H37" s="566">
        <f t="shared" si="17"/>
        <v>24</v>
      </c>
      <c r="I37" s="566">
        <f t="shared" si="17"/>
        <v>25</v>
      </c>
      <c r="J37" s="567">
        <f t="shared" si="17"/>
        <v>26</v>
      </c>
      <c r="K37" s="540">
        <f>IF(DAY(MAX(D37:J37))&lt;&gt;0,NETWORKDAYS(DATE($W$4,$A38,DAY(D37)),DATE($W$4,$A38,DAY(MAX(D37:J37))),$D$68:$D$92),0)</f>
        <v>5</v>
      </c>
      <c r="L37" s="541">
        <f>IF(DAY(MAX(D37:J37))&lt;&gt;0,NETWORKDAYS(DATE($W$4,$A$38,DAY(D37)),DATE($W$4,$A$38,DAY(MAX(D37:J37))),$A$101:$A$231),0)</f>
        <v>5</v>
      </c>
      <c r="M37" s="1032"/>
      <c r="N37" s="322"/>
      <c r="O37" s="935"/>
      <c r="P37" s="537">
        <f>P36+1</f>
        <v>47</v>
      </c>
      <c r="Q37" s="568">
        <f>W36+1</f>
        <v>18</v>
      </c>
      <c r="R37" s="568">
        <f t="shared" si="15"/>
        <v>19</v>
      </c>
      <c r="S37" s="568">
        <f t="shared" si="15"/>
        <v>20</v>
      </c>
      <c r="T37" s="568">
        <f t="shared" si="15"/>
        <v>21</v>
      </c>
      <c r="U37" s="568">
        <f t="shared" si="15"/>
        <v>22</v>
      </c>
      <c r="V37" s="568">
        <f t="shared" si="15"/>
        <v>23</v>
      </c>
      <c r="W37" s="569">
        <f t="shared" si="15"/>
        <v>24</v>
      </c>
      <c r="X37" s="540">
        <f>IF(DAY(MAX(Q37:W37))&lt;&gt;0,NETWORKDAYS(DATE($W$4,$N38,DAY(Q37)),DATE($W$4,$N38,DAY(MAX(Q37:W37))),$D$68:$D$92),0)</f>
        <v>5</v>
      </c>
      <c r="Y37" s="541">
        <f>IF(DAY(MAX(Q37:W37))&lt;&gt;0,NETWORKDAYS(DATE($W$4,$N$38,DAY(Q37)),DATE($W$4,$N$38,DAY(MAX(Q37:W37))),$A$101:$A$231),0)</f>
        <v>5</v>
      </c>
      <c r="Z37" s="1035"/>
      <c r="AA37" s="928">
        <f>AA34-3</f>
        <v>45379</v>
      </c>
      <c r="AB37" s="928"/>
      <c r="AC37" s="928"/>
      <c r="AD37" s="217">
        <f>MONTH(AA37)</f>
        <v>3</v>
      </c>
      <c r="AE37" s="217">
        <f>DAY(AA37)</f>
        <v>28</v>
      </c>
      <c r="AF37" s="217">
        <f>IF(AD37=3,AE37,"no")</f>
        <v>28</v>
      </c>
      <c r="AG37" s="6" t="str">
        <f>IF(AD37=4,AE37,"no")</f>
        <v>no</v>
      </c>
      <c r="AH37" s="24"/>
      <c r="AI37" s="6"/>
      <c r="AJ37" s="6" t="str">
        <f>IF(AK37="NO","NO",AK37+1)</f>
        <v>NO</v>
      </c>
      <c r="AK37" s="6" t="str">
        <f>IF($AI$32=4,$AH$31,"NO")</f>
        <v>NO</v>
      </c>
      <c r="AL37" s="6" t="str">
        <f>IF(AK37="NO","",AK37-2)</f>
        <v/>
      </c>
      <c r="AM37" s="6"/>
      <c r="AN37" s="6"/>
      <c r="AO37" s="6"/>
      <c r="AR37" s="3"/>
    </row>
    <row r="38" spans="1:49" ht="12.75" customHeight="1" thickBot="1">
      <c r="A38" s="319">
        <v>5</v>
      </c>
      <c r="B38" s="941"/>
      <c r="C38" s="537">
        <f>C37+1</f>
        <v>22</v>
      </c>
      <c r="D38" s="566">
        <f>J37+1</f>
        <v>27</v>
      </c>
      <c r="E38" s="566">
        <f>D38+1</f>
        <v>28</v>
      </c>
      <c r="F38" s="566">
        <f>E38+1</f>
        <v>29</v>
      </c>
      <c r="G38" s="566">
        <f>IF(E38&lt;30,E38+2," ")</f>
        <v>30</v>
      </c>
      <c r="H38" s="566">
        <f>IF(E38&lt;29,E38+3," ")</f>
        <v>31</v>
      </c>
      <c r="I38" s="566" t="str">
        <f>IF(E38&lt;28,E38+4," ")</f>
        <v xml:space="preserve"> </v>
      </c>
      <c r="J38" s="567" t="str">
        <f>IF(E38&lt;27,E38+5," ")</f>
        <v xml:space="preserve"> </v>
      </c>
      <c r="K38" s="540">
        <f>IF(DAY(MAX(D38:J38))&lt;&gt;0,NETWORKDAYS(DATE($W$4,$A38,DAY(D38)),DATE($W$4,$A38,DAY(MAX(D38:J38))),$D$68:$D$92),0)</f>
        <v>5</v>
      </c>
      <c r="L38" s="541">
        <f>IF(DAY(MAX(D38:J38))&lt;&gt;0,NETWORKDAYS(DATE($W$4,$A$38,DAY(D38)),DATE($W$4,$A$38,DAY(MAX(D38:J38))),$A$101:$A$231),0)</f>
        <v>5</v>
      </c>
      <c r="M38" s="1033"/>
      <c r="N38" s="322">
        <v>11</v>
      </c>
      <c r="O38" s="935"/>
      <c r="P38" s="537">
        <f>P37+1</f>
        <v>48</v>
      </c>
      <c r="Q38" s="568">
        <f>W37+1</f>
        <v>25</v>
      </c>
      <c r="R38" s="568">
        <f>Q38+1</f>
        <v>26</v>
      </c>
      <c r="S38" s="568">
        <f>IF(R38&lt;30,R38+1," ")</f>
        <v>27</v>
      </c>
      <c r="T38" s="568">
        <f>IF(R38&lt;29,R38+2," ")</f>
        <v>28</v>
      </c>
      <c r="U38" s="568">
        <f>IF(R38&lt;28,R38+3," ")</f>
        <v>29</v>
      </c>
      <c r="V38" s="568">
        <f>IF(R38&lt;27,R38+4," ")</f>
        <v>30</v>
      </c>
      <c r="W38" s="569" t="str">
        <f>IF(R38&lt;26,R38+5," ")</f>
        <v xml:space="preserve"> </v>
      </c>
      <c r="X38" s="540">
        <f>IF(DAY(MAX(Q38:W38))&lt;&gt;0,NETWORKDAYS(DATE($W$4,$N38,DAY(Q38)),DATE($W$4,$N38,DAY(MAX(Q38:W38))),$D$68:$D$92),0)</f>
        <v>5</v>
      </c>
      <c r="Y38" s="541">
        <f>IF(DAY(MAX(Q38:W38))&lt;&gt;0,NETWORKDAYS(DATE($W$4,$N$38,DAY(Q38)),DATE($W$4,$N$38,DAY(MAX(Q38:W38))),$A$101:$A$231),0)</f>
        <v>5</v>
      </c>
      <c r="Z38" s="1036"/>
      <c r="AA38" s="928">
        <f>AA37+1</f>
        <v>45380</v>
      </c>
      <c r="AB38" s="959"/>
      <c r="AC38" s="959"/>
      <c r="AD38" s="6">
        <f>MONTH(AA38)</f>
        <v>3</v>
      </c>
      <c r="AE38" s="6">
        <f>DAY(AA38)</f>
        <v>29</v>
      </c>
      <c r="AF38" s="217">
        <f>IF(AD38=3,AE38,"no")</f>
        <v>29</v>
      </c>
      <c r="AG38" s="217" t="str">
        <f>IF(AD38=4,AE38,"no")</f>
        <v>no</v>
      </c>
      <c r="AH38" s="24">
        <f>19*AG24</f>
        <v>0</v>
      </c>
      <c r="AI38" s="6"/>
      <c r="AJ38" s="6"/>
      <c r="AK38" s="6"/>
      <c r="AL38" s="6"/>
      <c r="AM38" s="6"/>
      <c r="AN38" s="6"/>
      <c r="AO38" s="6"/>
      <c r="AR38" s="3"/>
    </row>
    <row r="39" spans="1:49" ht="12.75" customHeight="1" thickBot="1">
      <c r="A39" s="319">
        <v>31</v>
      </c>
      <c r="B39" s="942"/>
      <c r="C39" s="551">
        <f>IF(D39=" ",C38,C38+1)</f>
        <v>22</v>
      </c>
      <c r="D39" s="570" t="str">
        <f>IF(J38&lt;31,J38+1," ")</f>
        <v xml:space="preserve"> </v>
      </c>
      <c r="E39" s="570" t="str">
        <f t="shared" ref="E39:J39" si="18">IF(D39&lt;31,D39+1," ")</f>
        <v xml:space="preserve"> </v>
      </c>
      <c r="F39" s="570" t="str">
        <f t="shared" si="18"/>
        <v xml:space="preserve"> </v>
      </c>
      <c r="G39" s="570" t="str">
        <f t="shared" si="18"/>
        <v xml:space="preserve"> </v>
      </c>
      <c r="H39" s="570" t="str">
        <f t="shared" si="18"/>
        <v xml:space="preserve"> </v>
      </c>
      <c r="I39" s="570" t="str">
        <f t="shared" si="18"/>
        <v xml:space="preserve"> </v>
      </c>
      <c r="J39" s="570" t="str">
        <f t="shared" si="18"/>
        <v xml:space="preserve"> </v>
      </c>
      <c r="K39" s="548">
        <f>IF(DAY(MAX(D39:J39))&lt;&gt;0,NETWORKDAYS(DATE($W$4,$A38,DAY(D39)),DATE($W$4,$A38,DAY(MAX(D39:J39))),$D$68:$D$92),0)</f>
        <v>0</v>
      </c>
      <c r="L39" s="555">
        <f>IF(DAY(MAX(D39:J39))&lt;&gt;0,NETWORKDAYS(DATE($W$4,$A$38,DAY(D39)),DATE($W$4,$A$38,DAY(MAX(D39:J39))),$A$101:$A$231),0)</f>
        <v>0</v>
      </c>
      <c r="M39" s="597">
        <f>NETWORKDAYS(DATE($W$4,A38,1),DATE($W$4,A38,A39),$A$101:$A$231)</f>
        <v>21</v>
      </c>
      <c r="N39" s="322">
        <v>30</v>
      </c>
      <c r="O39" s="937"/>
      <c r="P39" s="546">
        <f>IF(Q39=" ",P38,P38+1)</f>
        <v>48</v>
      </c>
      <c r="Q39" s="571" t="str">
        <f>IF(W38&lt;30,W38+1," ")</f>
        <v xml:space="preserve"> </v>
      </c>
      <c r="R39" s="571" t="str">
        <f>IF(Q39&lt;30,Q39+1," ")</f>
        <v xml:space="preserve"> </v>
      </c>
      <c r="S39" s="571" t="str">
        <f>IF(R39&lt;30,R39+1," ")</f>
        <v xml:space="preserve"> </v>
      </c>
      <c r="T39" s="571" t="str">
        <f>IF(S39&lt;30,S39+1," ")</f>
        <v xml:space="preserve"> </v>
      </c>
      <c r="U39" s="571" t="str">
        <f>IF(T39&lt;30,T39+1," ")</f>
        <v xml:space="preserve"> </v>
      </c>
      <c r="V39" s="571" t="str">
        <f>IF(U39&lt;30,U39+1," ")</f>
        <v xml:space="preserve"> </v>
      </c>
      <c r="W39" s="571" t="str">
        <f>IF(V39&lt;30,V39+1," ")</f>
        <v xml:space="preserve"> </v>
      </c>
      <c r="X39" s="548">
        <f>IF(DAY(MAX(Q39:W39))&lt;&gt;0,NETWORKDAYS(DATE($W$4,$N38,DAY(Q39)),DATE($W$4,$N38,DAY(MAX(Q39:W39))),$D$68:$D$92),0)</f>
        <v>0</v>
      </c>
      <c r="Y39" s="555">
        <f>IF(DAY(MAX(Q39:W39))&lt;&gt;0,NETWORKDAYS(DATE($W$4,$N$38,DAY(Q39)),DATE($W$4,$N$38,DAY(MAX(Q39:W39))),$A$101:$A$231),0)</f>
        <v>0</v>
      </c>
      <c r="Z39" s="597">
        <f>NETWORKDAYS(DATE($W$4,N38,1),DATE($W$4,N38,N39),$A$101:$A$231)</f>
        <v>19</v>
      </c>
      <c r="AA39" s="728" t="s">
        <v>19</v>
      </c>
      <c r="AB39" s="728"/>
      <c r="AC39" s="728"/>
      <c r="AD39" s="6"/>
      <c r="AE39" s="6"/>
      <c r="AF39" s="6"/>
      <c r="AG39" s="6"/>
      <c r="AH39" s="6"/>
      <c r="AI39" s="6"/>
      <c r="AJ39" s="6"/>
      <c r="AK39" s="6"/>
      <c r="AL39" s="6"/>
      <c r="AM39" s="6"/>
      <c r="AN39" s="6"/>
      <c r="AO39" s="6"/>
      <c r="AR39" s="3"/>
    </row>
    <row r="40" spans="1:49" ht="12.75" customHeight="1">
      <c r="B40" s="940" t="s">
        <v>54</v>
      </c>
      <c r="C40" s="556">
        <f>IF(D40&lt;&gt;" ",C39+1,C39)</f>
        <v>22</v>
      </c>
      <c r="D40" s="573" t="str">
        <f>IF($AC$12=1,1," ")</f>
        <v xml:space="preserve"> </v>
      </c>
      <c r="E40" s="573" t="str">
        <f>IF($AC$12=2,1,IF(D40=1,D40+1," "))</f>
        <v xml:space="preserve"> </v>
      </c>
      <c r="F40" s="573" t="str">
        <f>IF($AC$12=3,1,IF(D40=1,D40+2,IF(E40=1,E40+1," ")))</f>
        <v xml:space="preserve"> </v>
      </c>
      <c r="G40" s="573" t="str">
        <f>IF($AC$12=4,1,IF($D40=1,$D40+3,IF($E40=1,$E40+2,IF($F40=1,$F40+1," "))))</f>
        <v xml:space="preserve"> </v>
      </c>
      <c r="H40" s="573" t="str">
        <f>IF($AC$12=5,1,IF($D40=1,$D40+4,IF($E40=1,$E40+3,IF($F40=1,$F40+2,IF($G40=1,$G40+1," ")))))</f>
        <v xml:space="preserve"> </v>
      </c>
      <c r="I40" s="573">
        <f>IF($AC$12=6,1,IF($D40=1,$D40+5,IF($E40=1,$E40+4,IF($F40=1,$F40+3,IF($G40=1,$G40+2,IF($H40=1,H40+1," "))))))</f>
        <v>1</v>
      </c>
      <c r="J40" s="574">
        <f>IF($AC$12=0,1,IF($D40=1,$D40+6,IF($E40=1,$E40+5,IF($F40=1,$F40+4,IF($G40=1,$G40+3,IF($H40=1,$H40+2,IF($I40=1,$I40+1," ")))))))</f>
        <v>2</v>
      </c>
      <c r="K40" s="553">
        <f>IF(DAY(MAX(D40:J40))&lt;&gt;0,NETWORKDAYS(DATE($W$4,$A44,1),DATE($W$4,$A44,DAY(MAX(D40:J40))),$D$68:$D$92),0)</f>
        <v>0</v>
      </c>
      <c r="L40" s="534">
        <f>IF(DAY(MAX(D40:J40))&lt;&gt;0,NETWORKDAYS(DATE($W$4,$A$44,1),DATE($W$4,$A$44,DAY(MAX(D40:J40))),$A$101:$A$231),0)</f>
        <v>0</v>
      </c>
      <c r="M40" s="1034" t="s">
        <v>930</v>
      </c>
      <c r="N40" s="322"/>
      <c r="O40" s="938" t="s">
        <v>59</v>
      </c>
      <c r="P40" s="530">
        <f>IF(Q40&lt;&gt;" ",P39+1,P39)</f>
        <v>48</v>
      </c>
      <c r="Q40" s="575" t="str">
        <f>IF($AC$18=1,1," ")</f>
        <v xml:space="preserve"> </v>
      </c>
      <c r="R40" s="575" t="str">
        <f>IF($AC$18=2,1,IF(Q40=1,Q40+1," "))</f>
        <v xml:space="preserve"> </v>
      </c>
      <c r="S40" s="575" t="str">
        <f>IF($AC$18=3,1,IF(Q40=1,Q40+2,IF(R40=1,R40+1," ")))</f>
        <v xml:space="preserve"> </v>
      </c>
      <c r="T40" s="575" t="str">
        <f>IF($AC$18=4,1,IF($Q40=1,$Q40+3,IF($R40=1,$R40+2,IF($S40=1,$S40+1," "))))</f>
        <v xml:space="preserve"> </v>
      </c>
      <c r="U40" s="575" t="str">
        <f>IF($AC$18=5,1,IF($Q40=1,$Q40+4,IF($R40=1,$R40+3,IF($S40=1,$S40+2,IF($T40=1,$T40+1," ")))))</f>
        <v xml:space="preserve"> </v>
      </c>
      <c r="V40" s="575" t="str">
        <f>IF($AC$18=6,1,IF($Q40=1,$Q40+5,IF($R40=1,$R40+4,IF($S40=1,$S40+3,IF($T40=1,$T40+2,IF($U40=1,U40+1," "))))))</f>
        <v xml:space="preserve"> </v>
      </c>
      <c r="W40" s="576">
        <f>IF($AC$18=0,1,IF($Q40=1,$Q40+6,IF($R40=1,$R40+5,IF($S40=1,$S40+4,IF($T40=1,$T40+3,IF($U40=1,$U40+2,IF($V40=1,$V40+1," ")))))))</f>
        <v>1</v>
      </c>
      <c r="X40" s="553">
        <f>IF(DAY(MAX(Q40:W40))&lt;&gt;0,NETWORKDAYS(DATE($W$4,$N44,1),DATE($W$4,$N44,DAY(MAX(Q40:W40))),$D$68:$D$92),0)</f>
        <v>0</v>
      </c>
      <c r="Y40" s="534">
        <f>IF(DAY(MAX(Q40:W40))&lt;&gt;0,NETWORKDAYS(DATE($W$4,$N$44,1),DATE($W$4,$N$44,DAY(MAX(Q40:W40))),$A$101:$A$231),0)</f>
        <v>0</v>
      </c>
      <c r="Z40" s="1034" t="s">
        <v>930</v>
      </c>
      <c r="AA40" s="928">
        <f>AA34+8</f>
        <v>45390</v>
      </c>
      <c r="AB40" s="928"/>
      <c r="AC40" s="928"/>
      <c r="AD40" s="18">
        <f>WEEKDAY(AA40,2)</f>
        <v>1</v>
      </c>
      <c r="AE40" s="728" t="str">
        <f>IF(AD40=1,"DILLUNS"," ")</f>
        <v>DILLUNS</v>
      </c>
      <c r="AF40" s="728"/>
      <c r="AG40" s="6"/>
      <c r="AH40" s="6"/>
      <c r="AI40" s="6"/>
      <c r="AJ40" s="6"/>
      <c r="AK40" s="6"/>
      <c r="AL40" s="6"/>
      <c r="AM40" s="6"/>
      <c r="AN40" s="6"/>
      <c r="AO40" s="6"/>
      <c r="AR40" s="3"/>
    </row>
    <row r="41" spans="1:49" ht="12.75" customHeight="1">
      <c r="B41" s="941"/>
      <c r="C41" s="537">
        <f>C40+1</f>
        <v>23</v>
      </c>
      <c r="D41" s="566">
        <f>J40+1</f>
        <v>3</v>
      </c>
      <c r="E41" s="566">
        <f t="shared" ref="E41:J41" si="19">D41+1</f>
        <v>4</v>
      </c>
      <c r="F41" s="566">
        <f t="shared" si="19"/>
        <v>5</v>
      </c>
      <c r="G41" s="566">
        <f t="shared" si="19"/>
        <v>6</v>
      </c>
      <c r="H41" s="566">
        <f t="shared" si="19"/>
        <v>7</v>
      </c>
      <c r="I41" s="705">
        <f t="shared" si="19"/>
        <v>8</v>
      </c>
      <c r="J41" s="567">
        <f t="shared" si="19"/>
        <v>9</v>
      </c>
      <c r="K41" s="540">
        <f>IF(DAY(MAX(D41:J41))&lt;&gt;0,NETWORKDAYS(DATE($W$4,$A44,DAY(D41)),DATE($W$4,$A44,DAY(MAX(D41:J41))),$D$68:$D$92),0)</f>
        <v>5</v>
      </c>
      <c r="L41" s="541">
        <f>IF(DAY(MAX(D41:J41))&lt;&gt;0,NETWORKDAYS(DATE($W$4,$A$44,DAY(D41)),DATE($W$4,$A$44,DAY(MAX(D41:J41))),$A$101:$A$231),0)</f>
        <v>5</v>
      </c>
      <c r="M41" s="1032"/>
      <c r="N41" s="322"/>
      <c r="O41" s="935"/>
      <c r="P41" s="537">
        <f>P40+1</f>
        <v>49</v>
      </c>
      <c r="Q41" s="568">
        <f>W40+1</f>
        <v>2</v>
      </c>
      <c r="R41" s="568">
        <f t="shared" ref="R41:W43" si="20">Q41+1</f>
        <v>3</v>
      </c>
      <c r="S41" s="568">
        <f t="shared" si="20"/>
        <v>4</v>
      </c>
      <c r="T41" s="568">
        <f t="shared" si="20"/>
        <v>5</v>
      </c>
      <c r="U41" s="568">
        <f t="shared" si="20"/>
        <v>6</v>
      </c>
      <c r="V41" s="568">
        <f t="shared" si="20"/>
        <v>7</v>
      </c>
      <c r="W41" s="569">
        <f t="shared" si="20"/>
        <v>8</v>
      </c>
      <c r="X41" s="540">
        <f>IF(DAY(MAX(Q41:W41))&lt;&gt;0,NETWORKDAYS(DATE($W$4,$N44,DAY(Q41)),DATE($W$4,$N44,DAY(MAX(Q41:W41))),$D$68:$D$92),0)</f>
        <v>4</v>
      </c>
      <c r="Y41" s="541">
        <f>IF(DAY(MAX(Q41:W41))&lt;&gt;0,NETWORKDAYS(DATE($W$4,$N$44,DAY(Q41)),DATE($W$4,$N$44,DAY(MAX(Q41:W41))),$A$101:$A$231),0)</f>
        <v>4</v>
      </c>
      <c r="Z41" s="1035"/>
      <c r="AA41" s="6"/>
      <c r="AB41" s="6">
        <f>DAY(AA40)</f>
        <v>8</v>
      </c>
      <c r="AC41" s="6">
        <f>MONTH(AA40)</f>
        <v>4</v>
      </c>
      <c r="AD41" s="6"/>
      <c r="AE41" s="6"/>
      <c r="AF41" s="6"/>
      <c r="AG41" s="6"/>
      <c r="AH41" s="6"/>
      <c r="AI41" s="6"/>
      <c r="AJ41" s="6"/>
      <c r="AK41" s="6"/>
      <c r="AL41" s="6"/>
      <c r="AM41" s="6"/>
      <c r="AN41" s="6"/>
      <c r="AO41" s="6"/>
      <c r="AR41" s="3"/>
    </row>
    <row r="42" spans="1:49" ht="12.75" customHeight="1">
      <c r="B42" s="941"/>
      <c r="C42" s="537">
        <f>C41+1</f>
        <v>24</v>
      </c>
      <c r="D42" s="566">
        <f>J41+1</f>
        <v>10</v>
      </c>
      <c r="E42" s="566">
        <f t="shared" ref="E42:J42" si="21">D42+1</f>
        <v>11</v>
      </c>
      <c r="F42" s="566">
        <f t="shared" si="21"/>
        <v>12</v>
      </c>
      <c r="G42" s="566">
        <f t="shared" si="21"/>
        <v>13</v>
      </c>
      <c r="H42" s="566">
        <f t="shared" si="21"/>
        <v>14</v>
      </c>
      <c r="I42" s="566">
        <f t="shared" si="21"/>
        <v>15</v>
      </c>
      <c r="J42" s="567">
        <f t="shared" si="21"/>
        <v>16</v>
      </c>
      <c r="K42" s="540">
        <f>IF(DAY(MAX(D42:J42))&lt;&gt;0,NETWORKDAYS(DATE($W$4,$A44,DAY(D42)),DATE($W$4,$A44,DAY(MAX(D42:J42))),$D$68:$D$92),0)</f>
        <v>5</v>
      </c>
      <c r="L42" s="541">
        <f>IF(DAY(MAX(D42:J42))&lt;&gt;0,NETWORKDAYS(DATE($W$4,$A$44,DAY(D42)),DATE($W$4,$A$44,DAY(MAX(D42:J42))),$A$101:$A$231),0)</f>
        <v>5</v>
      </c>
      <c r="M42" s="1032"/>
      <c r="N42" s="322"/>
      <c r="O42" s="935"/>
      <c r="P42" s="537">
        <f>P41+1</f>
        <v>50</v>
      </c>
      <c r="Q42" s="568">
        <f>W41+1</f>
        <v>9</v>
      </c>
      <c r="R42" s="568">
        <f t="shared" si="20"/>
        <v>10</v>
      </c>
      <c r="S42" s="568">
        <f t="shared" si="20"/>
        <v>11</v>
      </c>
      <c r="T42" s="568">
        <f t="shared" si="20"/>
        <v>12</v>
      </c>
      <c r="U42" s="568">
        <f t="shared" si="20"/>
        <v>13</v>
      </c>
      <c r="V42" s="568">
        <f t="shared" si="20"/>
        <v>14</v>
      </c>
      <c r="W42" s="569">
        <f t="shared" si="20"/>
        <v>15</v>
      </c>
      <c r="X42" s="540">
        <f>IF(DAY(MAX(Q42:W42))&lt;&gt;0,NETWORKDAYS(DATE($W$4,$N44,DAY(Q42)),DATE($W$4,$N44,DAY(MAX(Q42:W42))),$D$68:$D$92),0)</f>
        <v>5</v>
      </c>
      <c r="Y42" s="541">
        <f>IF(DAY(MAX(Q42:W42))&lt;&gt;0,NETWORKDAYS(DATE($W$4,$N$44,DAY(Q42)),DATE($W$4,$N$44,DAY(MAX(Q42:W42))),$A$101:$A$231),0)</f>
        <v>5</v>
      </c>
      <c r="Z42" s="1035"/>
      <c r="AA42" s="728" t="s">
        <v>21</v>
      </c>
      <c r="AB42" s="728"/>
      <c r="AC42" s="728"/>
      <c r="AD42" s="6"/>
      <c r="AE42" s="6"/>
      <c r="AF42" s="6"/>
      <c r="AG42" s="6"/>
      <c r="AH42" s="6"/>
      <c r="AI42" s="6"/>
      <c r="AJ42" s="928">
        <f>C53</f>
        <v>45336</v>
      </c>
      <c r="AK42" s="958"/>
      <c r="AL42" s="6"/>
      <c r="AM42" s="6"/>
      <c r="AN42" s="6"/>
      <c r="AO42" s="6"/>
      <c r="AR42" s="3"/>
    </row>
    <row r="43" spans="1:49" ht="12.75" customHeight="1">
      <c r="B43" s="941"/>
      <c r="C43" s="537">
        <f>C42+1</f>
        <v>25</v>
      </c>
      <c r="D43" s="566">
        <f>J42+1</f>
        <v>17</v>
      </c>
      <c r="E43" s="566">
        <f t="shared" ref="E43:J43" si="22">D43+1</f>
        <v>18</v>
      </c>
      <c r="F43" s="566">
        <f t="shared" si="22"/>
        <v>19</v>
      </c>
      <c r="G43" s="566">
        <f t="shared" si="22"/>
        <v>20</v>
      </c>
      <c r="H43" s="566">
        <f t="shared" si="22"/>
        <v>21</v>
      </c>
      <c r="I43" s="566">
        <f t="shared" si="22"/>
        <v>22</v>
      </c>
      <c r="J43" s="567">
        <f t="shared" si="22"/>
        <v>23</v>
      </c>
      <c r="K43" s="540">
        <f>IF(DAY(MAX(D43:J43))&lt;&gt;0,NETWORKDAYS(DATE($W$4,$A44,DAY(D43)),DATE($W$4,$A44,DAY(MAX(D43:J43))),$D$68:$D$92),0)</f>
        <v>5</v>
      </c>
      <c r="L43" s="541">
        <f>IF(DAY(MAX(D43:J43))&lt;&gt;0,NETWORKDAYS(DATE($W$4,$A$44,DAY(D43)),DATE($W$4,$A$44,DAY(MAX(D43:J43))),$A$101:$A$231),0)</f>
        <v>5</v>
      </c>
      <c r="M43" s="1032"/>
      <c r="N43" s="322"/>
      <c r="O43" s="935"/>
      <c r="P43" s="537">
        <f>P42+1</f>
        <v>51</v>
      </c>
      <c r="Q43" s="568">
        <f>W42+1</f>
        <v>16</v>
      </c>
      <c r="R43" s="568">
        <f t="shared" si="20"/>
        <v>17</v>
      </c>
      <c r="S43" s="568">
        <f t="shared" si="20"/>
        <v>18</v>
      </c>
      <c r="T43" s="568">
        <f t="shared" si="20"/>
        <v>19</v>
      </c>
      <c r="U43" s="568">
        <f t="shared" si="20"/>
        <v>20</v>
      </c>
      <c r="V43" s="568">
        <f t="shared" si="20"/>
        <v>21</v>
      </c>
      <c r="W43" s="569">
        <f t="shared" si="20"/>
        <v>22</v>
      </c>
      <c r="X43" s="540">
        <f>IF(DAY(MAX(Q43:W43))&lt;&gt;0,NETWORKDAYS(DATE($W$4,$N44,DAY(Q43)),DATE($W$4,$N44,DAY(MAX(Q43:W43))),$D$68:$D$92),0)</f>
        <v>5</v>
      </c>
      <c r="Y43" s="541">
        <f>IF(DAY(MAX(Q43:W43))&lt;&gt;0,NETWORKDAYS(DATE($W$4,$N$44,DAY(Q43)),DATE($W$4,$N$44,DAY(MAX(Q43:W43))),$A$101:$A$231),0)</f>
        <v>5</v>
      </c>
      <c r="Z43" s="1035"/>
      <c r="AA43" s="928">
        <f>AA34+50</f>
        <v>45432</v>
      </c>
      <c r="AB43" s="928"/>
      <c r="AC43" s="928"/>
      <c r="AD43" s="18">
        <f>WEEKDAY(AA43,2)</f>
        <v>1</v>
      </c>
      <c r="AE43" s="728" t="str">
        <f>IF(AD43=1,"DILLUNS"," ")</f>
        <v>DILLUNS</v>
      </c>
      <c r="AF43" s="728"/>
      <c r="AG43" s="6"/>
      <c r="AH43" s="6"/>
      <c r="AI43" s="6"/>
      <c r="AJ43" s="6">
        <f>DAY(AJ42)</f>
        <v>14</v>
      </c>
      <c r="AK43" s="6"/>
      <c r="AL43" s="6"/>
      <c r="AM43" s="6"/>
      <c r="AN43" s="6"/>
      <c r="AO43" s="6"/>
      <c r="AR43" s="3"/>
    </row>
    <row r="44" spans="1:49" ht="12.75" customHeight="1" thickBot="1">
      <c r="A44" s="319">
        <v>6</v>
      </c>
      <c r="B44" s="941"/>
      <c r="C44" s="537">
        <f>C43+1</f>
        <v>26</v>
      </c>
      <c r="D44" s="566">
        <f>J43+1</f>
        <v>24</v>
      </c>
      <c r="E44" s="566">
        <f>D44+1</f>
        <v>25</v>
      </c>
      <c r="F44" s="566">
        <f>IF(E44&lt;30,E44+1," ")</f>
        <v>26</v>
      </c>
      <c r="G44" s="566">
        <f>IF(E44&lt;29,E44+2," ")</f>
        <v>27</v>
      </c>
      <c r="H44" s="566">
        <f>IF(E44&lt;28,E44+3," ")</f>
        <v>28</v>
      </c>
      <c r="I44" s="566">
        <f>IF(E44&lt;27,E44+4," ")</f>
        <v>29</v>
      </c>
      <c r="J44" s="567">
        <f>IF(E44&lt;26,E44+5," ")</f>
        <v>30</v>
      </c>
      <c r="K44" s="540">
        <f>IF(DAY(MAX(D44:J44))&lt;&gt;0,NETWORKDAYS(DATE($W$4,$A44,DAY(D44)),DATE($W$4,$A44,DAY(MAX(D44:J44))),$D$68:$D$92),0)</f>
        <v>5</v>
      </c>
      <c r="L44" s="541">
        <f>IF(DAY(MAX(D44:J44))&lt;&gt;0,NETWORKDAYS(DATE($W$4,$A$44,DAY(D44)),DATE($W$4,$A$44,DAY(MAX(D44:J44))),$A$101:$A$231),0)</f>
        <v>0</v>
      </c>
      <c r="M44" s="1033"/>
      <c r="N44" s="322">
        <v>12</v>
      </c>
      <c r="O44" s="935"/>
      <c r="P44" s="537">
        <f>P43+1</f>
        <v>52</v>
      </c>
      <c r="Q44" s="568">
        <f>W43+1</f>
        <v>23</v>
      </c>
      <c r="R44" s="568">
        <f>Q44+1</f>
        <v>24</v>
      </c>
      <c r="S44" s="568">
        <f>IF(R44&lt;31,R44+1," ")</f>
        <v>25</v>
      </c>
      <c r="T44" s="568">
        <f>IF(R44&lt;30,R44+2," ")</f>
        <v>26</v>
      </c>
      <c r="U44" s="568">
        <f>IF(R44&lt;29,R44+3," ")</f>
        <v>27</v>
      </c>
      <c r="V44" s="568">
        <f>IF(R44&lt;28,R44+4," ")</f>
        <v>28</v>
      </c>
      <c r="W44" s="569">
        <f>IF(R44&lt;27,R44+5," ")</f>
        <v>29</v>
      </c>
      <c r="X44" s="540">
        <f>IF(DAY(MAX(Q44:W44))&lt;&gt;0,NETWORKDAYS(DATE($W$4,$N44,DAY(Q44)),DATE($W$4,$N44,DAY(MAX(Q44:W44))),$D$68:$D$92),0)</f>
        <v>4</v>
      </c>
      <c r="Y44" s="541">
        <f>IF(DAY(MAX(Q44:W44))&lt;&gt;0,NETWORKDAYS(DATE($W$4,$N$44,DAY(Q44)),DATE($W$4,$N$44,DAY(MAX(Q44:W44))),$A$101:$A$231),0)</f>
        <v>0</v>
      </c>
      <c r="Z44" s="1036"/>
      <c r="AA44" s="6">
        <f>DAY(AA43)</f>
        <v>20</v>
      </c>
      <c r="AB44" s="6">
        <f>MONTH(AA43)</f>
        <v>5</v>
      </c>
      <c r="AC44" s="6"/>
      <c r="AD44" s="6"/>
      <c r="AE44" s="6">
        <f>IF(AB44=5,AA44,"NO")</f>
        <v>20</v>
      </c>
      <c r="AF44" s="6" t="str">
        <f>IF(AB44=6,AA44,"NO")</f>
        <v>NO</v>
      </c>
      <c r="AG44" s="6"/>
      <c r="AH44" s="6"/>
      <c r="AI44" s="6"/>
      <c r="AJ44" s="6"/>
      <c r="AK44" s="6"/>
      <c r="AL44" s="6"/>
      <c r="AM44" s="6"/>
      <c r="AN44" s="6"/>
      <c r="AO44" s="6"/>
      <c r="AR44" s="3"/>
    </row>
    <row r="45" spans="1:49" ht="12.75" customHeight="1" thickBot="1">
      <c r="A45" s="319">
        <v>30</v>
      </c>
      <c r="B45" s="942"/>
      <c r="C45" s="551">
        <f>IF(D45=" ",C44,C44+1)</f>
        <v>26</v>
      </c>
      <c r="D45" s="570" t="str">
        <f>IF(J44&lt;30,J44+1," ")</f>
        <v xml:space="preserve"> </v>
      </c>
      <c r="E45" s="570" t="str">
        <f>IF(D45&lt;30,D45+1," ")</f>
        <v xml:space="preserve"> </v>
      </c>
      <c r="F45" s="570" t="str">
        <f>IF(E45&lt;30,E45+1," ")</f>
        <v xml:space="preserve"> </v>
      </c>
      <c r="G45" s="570" t="str">
        <f>IF(F45&lt;30,F45+1," ")</f>
        <v xml:space="preserve"> </v>
      </c>
      <c r="H45" s="570" t="str">
        <f>IF(G45&lt;30,G45+1," ")</f>
        <v xml:space="preserve"> </v>
      </c>
      <c r="I45" s="570" t="str">
        <f>IF(H45&lt;30,H45+1," ")</f>
        <v xml:space="preserve"> </v>
      </c>
      <c r="J45" s="570" t="str">
        <f>IF(I45&lt;30,I45+1," ")</f>
        <v xml:space="preserve"> </v>
      </c>
      <c r="K45" s="548">
        <f>IF(DAY(MAX(D45:J45))&lt;&gt;0,NETWORKDAYS(DATE($W$4,$A44,DAY(D45)),DATE($W$4,$A44,DAY(MAX(D45:J45))),$D$68:$D$92),0)</f>
        <v>0</v>
      </c>
      <c r="L45" s="555">
        <f>IF(DAY(MAX(D45:J45))&lt;&gt;0,NETWORKDAYS(DATE($W$4,$A$44,DAY(D45)),DATE($W$4,$A$44,DAY(MAX(D45:J45))),$A$101:$A$231),0)</f>
        <v>0</v>
      </c>
      <c r="M45" s="597">
        <f>NETWORKDAYS(DATE($W$4,A44,1),DATE($W$4,A44,A45),$A$101:$A$231)</f>
        <v>15</v>
      </c>
      <c r="N45" s="322">
        <v>31</v>
      </c>
      <c r="O45" s="937"/>
      <c r="P45" s="551">
        <f>IF(Q45=" ",P44,P44+1)</f>
        <v>53</v>
      </c>
      <c r="Q45" s="571">
        <f>IF(W44&lt;31,W44+1," ")</f>
        <v>30</v>
      </c>
      <c r="R45" s="571">
        <f>IF(Q45&lt;31,Q45+1," ")</f>
        <v>31</v>
      </c>
      <c r="S45" s="571" t="str">
        <f>IF(R45&lt;31,R45+1," ")</f>
        <v xml:space="preserve"> </v>
      </c>
      <c r="T45" s="571" t="str">
        <f>IF(S45&lt;31,S45+1," ")</f>
        <v xml:space="preserve"> </v>
      </c>
      <c r="U45" s="571" t="str">
        <f>IF(T45&lt;31,T45+1," ")</f>
        <v xml:space="preserve"> </v>
      </c>
      <c r="V45" s="571" t="str">
        <f>IF(U45&lt;31,U45+1," ")</f>
        <v xml:space="preserve"> </v>
      </c>
      <c r="W45" s="571" t="str">
        <f>IF(V45&lt;31,V45+1," ")</f>
        <v xml:space="preserve"> </v>
      </c>
      <c r="X45" s="548">
        <f>IF(DAY(MAX(Q45:W45))&lt;&gt;0,NETWORKDAYS(DATE($W$4,$N44,DAY(Q45)),DATE($W$4,$N44,DAY(MAX(Q45:W45))),$D$68:$D$92),0)</f>
        <v>2</v>
      </c>
      <c r="Y45" s="555">
        <f>IF(DAY(MAX(Q45:W45))&lt;&gt;0,NETWORKDAYS(DATE($W$4,$N$44,DAY(Q45)),DATE($W$4,$N$44,DAY(MAX(Q45:W45))),$A$101:$A$231),0)</f>
        <v>0</v>
      </c>
      <c r="Z45" s="597">
        <f>NETWORKDAYS(DATE($W$4,N44,1),DATE($W$4,N44,N45),$A$101:$A$231)</f>
        <v>14</v>
      </c>
      <c r="AA45" s="927" t="s">
        <v>22</v>
      </c>
      <c r="AB45" s="927"/>
      <c r="AC45" s="927"/>
      <c r="AD45" s="6"/>
      <c r="AE45" s="6"/>
      <c r="AF45" s="6"/>
      <c r="AG45" s="6"/>
      <c r="AH45" s="6"/>
      <c r="AI45" s="6"/>
      <c r="AJ45" s="6"/>
      <c r="AK45" s="6"/>
      <c r="AL45" s="6"/>
      <c r="AM45" s="6"/>
      <c r="AN45" s="6"/>
      <c r="AO45" s="6"/>
      <c r="AR45" s="3"/>
    </row>
    <row r="46" spans="1:49" ht="12.75" customHeight="1" thickBot="1">
      <c r="B46" s="680"/>
      <c r="C46" s="577"/>
      <c r="D46" s="577"/>
      <c r="E46" s="577"/>
      <c r="F46" s="577"/>
      <c r="G46" s="324"/>
      <c r="H46" s="318" t="s">
        <v>933</v>
      </c>
      <c r="I46" s="324"/>
      <c r="J46" s="428"/>
      <c r="K46" s="529">
        <f>SUM(K10:K45)</f>
        <v>121</v>
      </c>
      <c r="L46" s="550">
        <f>SUM(L10:L45)</f>
        <v>108</v>
      </c>
      <c r="P46" s="428"/>
      <c r="Q46" s="428"/>
      <c r="R46" s="428"/>
      <c r="S46" s="428"/>
      <c r="T46" s="428"/>
      <c r="U46" s="318" t="s">
        <v>933</v>
      </c>
      <c r="V46" s="428"/>
      <c r="W46" s="428"/>
      <c r="X46" s="529">
        <f>SUM(X10:X45)</f>
        <v>126</v>
      </c>
      <c r="Y46" s="550">
        <f>SUM(Y10:Y45)</f>
        <v>70</v>
      </c>
      <c r="Z46" s="612"/>
      <c r="AA46" s="928">
        <f>AA34-27</f>
        <v>45355</v>
      </c>
      <c r="AB46" s="928"/>
      <c r="AC46" s="928"/>
      <c r="AD46" s="18">
        <f>WEEKDAY(AA46,2)</f>
        <v>1</v>
      </c>
      <c r="AE46" s="728" t="str">
        <f>IF(AD46=1,"DILLUNS"," ")</f>
        <v>DILLUNS</v>
      </c>
      <c r="AF46" s="728"/>
      <c r="AG46" s="6"/>
      <c r="AH46" s="6"/>
      <c r="AI46" s="6"/>
      <c r="AJ46" s="6"/>
      <c r="AK46" s="11">
        <f>AE4</f>
        <v>2024</v>
      </c>
      <c r="AL46" s="11">
        <f>AE4</f>
        <v>2024</v>
      </c>
      <c r="AM46" s="6"/>
      <c r="AN46" s="11">
        <f>AL46</f>
        <v>2024</v>
      </c>
      <c r="AO46" s="11">
        <f>AM46</f>
        <v>0</v>
      </c>
      <c r="AP46" s="11">
        <f>AN46</f>
        <v>2024</v>
      </c>
    </row>
    <row r="47" spans="1:49" ht="12.75" customHeight="1" thickBot="1">
      <c r="A47" s="526"/>
      <c r="B47" s="680"/>
      <c r="C47" s="578"/>
      <c r="D47" s="579" t="s">
        <v>931</v>
      </c>
      <c r="E47" s="577"/>
      <c r="F47" s="577"/>
      <c r="G47" s="577"/>
      <c r="H47" s="580"/>
      <c r="I47" s="324"/>
      <c r="J47" s="324"/>
      <c r="K47" s="577"/>
      <c r="L47" s="577"/>
      <c r="N47" s="526"/>
      <c r="P47" s="428"/>
      <c r="Q47" s="428"/>
      <c r="R47" s="428"/>
      <c r="S47" s="428"/>
      <c r="T47" s="318" t="s">
        <v>934</v>
      </c>
      <c r="U47" s="428"/>
      <c r="V47" s="428"/>
      <c r="W47" s="428"/>
      <c r="X47" s="529">
        <f>K46+X46</f>
        <v>247</v>
      </c>
      <c r="Y47" s="581">
        <f>L46+Y46</f>
        <v>178</v>
      </c>
      <c r="Z47" s="612"/>
      <c r="AA47" s="338">
        <f>IF(MONTH(AA46)=3,DAY(AA46),"no")</f>
        <v>4</v>
      </c>
      <c r="AB47" s="338" t="str">
        <f>IF(MONTH(AA46)=2,DAY(AA46),"no")</f>
        <v>no</v>
      </c>
      <c r="AC47" s="27"/>
      <c r="AD47" s="18"/>
      <c r="AE47" s="6"/>
      <c r="AF47" s="6"/>
      <c r="AG47" s="6"/>
      <c r="AH47" s="6"/>
      <c r="AI47" s="6"/>
      <c r="AJ47" s="6"/>
      <c r="AK47" s="11">
        <f>AK46-1979</f>
        <v>45</v>
      </c>
      <c r="AL47" s="11">
        <f>AL46-1320</f>
        <v>704</v>
      </c>
      <c r="AM47" s="6"/>
      <c r="AN47" s="11">
        <f>AN46-1899</f>
        <v>125</v>
      </c>
      <c r="AO47" s="11"/>
      <c r="AP47" s="26">
        <f>AP46-9999</f>
        <v>-7975</v>
      </c>
    </row>
    <row r="48" spans="1:49" ht="12.75" customHeight="1">
      <c r="A48" s="526"/>
      <c r="B48" s="680"/>
      <c r="C48" s="582"/>
      <c r="D48" s="579" t="s">
        <v>932</v>
      </c>
      <c r="E48" s="577"/>
      <c r="F48" s="577"/>
      <c r="G48" s="1037" t="s">
        <v>64</v>
      </c>
      <c r="H48" s="970"/>
      <c r="I48" s="970"/>
      <c r="J48" s="970"/>
      <c r="K48" s="970"/>
      <c r="L48" s="970"/>
      <c r="M48" s="970"/>
      <c r="N48" s="970"/>
      <c r="P48" s="428"/>
      <c r="Q48" s="583"/>
      <c r="R48" s="318" t="s">
        <v>868</v>
      </c>
      <c r="S48" s="428"/>
      <c r="T48" s="428"/>
      <c r="U48" s="428"/>
      <c r="V48" s="428"/>
      <c r="W48" s="428"/>
      <c r="X48" s="577"/>
      <c r="Y48" s="577"/>
      <c r="Z48" s="612"/>
      <c r="AA48" s="33" t="s">
        <v>78</v>
      </c>
      <c r="AB48" s="27"/>
      <c r="AC48" s="27"/>
      <c r="AD48" s="18"/>
      <c r="AE48" s="6"/>
      <c r="AF48" s="6"/>
      <c r="AG48" s="11"/>
      <c r="AH48" s="6">
        <v>6</v>
      </c>
      <c r="AI48" s="6">
        <v>2</v>
      </c>
      <c r="AJ48" s="6">
        <f>IF(AH48=$AC$49,AI48,0)</f>
        <v>0</v>
      </c>
      <c r="AK48" s="11">
        <f>IF(AK47&lt;1,1,0)</f>
        <v>0</v>
      </c>
      <c r="AL48" s="6">
        <f>IF(AL47&gt;0,1,0)</f>
        <v>1</v>
      </c>
      <c r="AM48" s="6"/>
      <c r="AN48" s="6">
        <f>IF(AND(AN47&gt;0,AP47&lt;1),1,0)</f>
        <v>1</v>
      </c>
      <c r="AO48" s="6"/>
    </row>
    <row r="49" spans="1:66" ht="12.75" customHeight="1">
      <c r="A49" s="526"/>
      <c r="B49" s="680"/>
      <c r="C49" s="577"/>
      <c r="D49" s="577"/>
      <c r="E49" s="577"/>
      <c r="F49" s="577"/>
      <c r="G49" s="577"/>
      <c r="H49" s="580"/>
      <c r="I49" s="324"/>
      <c r="J49" s="29"/>
      <c r="K49" s="577"/>
      <c r="L49" s="577"/>
      <c r="M49" s="598"/>
      <c r="N49" s="584"/>
      <c r="P49" s="428"/>
      <c r="Q49" s="428"/>
      <c r="R49" s="428"/>
      <c r="S49" s="428"/>
      <c r="T49" s="428"/>
      <c r="U49" s="428"/>
      <c r="V49" s="428"/>
      <c r="W49" s="428"/>
      <c r="X49" s="577"/>
      <c r="Y49" s="577"/>
      <c r="Z49" s="612"/>
      <c r="AA49" s="928">
        <f>AA11</f>
        <v>45413</v>
      </c>
      <c r="AB49" s="928"/>
      <c r="AC49" s="11">
        <f>AC11</f>
        <v>3</v>
      </c>
      <c r="AD49" s="18">
        <f>IF(AL48&gt;0,DAY(AC50)," ")</f>
        <v>4</v>
      </c>
      <c r="AE49" s="6"/>
      <c r="AF49" s="6"/>
      <c r="AG49" s="11"/>
      <c r="AH49" s="6">
        <v>5</v>
      </c>
      <c r="AI49" s="6">
        <v>3</v>
      </c>
      <c r="AJ49" s="6">
        <f t="shared" ref="AJ49:AJ54" si="23">IF(AH49=$AC$49,AI49,0)</f>
        <v>0</v>
      </c>
      <c r="AK49" s="6"/>
      <c r="AL49" s="6"/>
      <c r="AM49" s="6"/>
      <c r="AN49" s="6"/>
      <c r="AO49" s="6"/>
    </row>
    <row r="50" spans="1:66" ht="12.75" customHeight="1">
      <c r="A50" s="526"/>
      <c r="B50" s="680"/>
      <c r="C50" s="585">
        <v>12</v>
      </c>
      <c r="D50" s="579" t="s">
        <v>65</v>
      </c>
      <c r="E50" s="577"/>
      <c r="F50" s="577"/>
      <c r="G50" s="577"/>
      <c r="H50" s="580"/>
      <c r="I50" s="586">
        <v>9</v>
      </c>
      <c r="J50" s="587" t="s">
        <v>66</v>
      </c>
      <c r="K50" s="577"/>
      <c r="L50" s="577"/>
      <c r="N50" s="526"/>
      <c r="P50" s="588">
        <v>11</v>
      </c>
      <c r="Q50" s="587" t="s">
        <v>61</v>
      </c>
      <c r="R50" s="428"/>
      <c r="S50" s="428"/>
      <c r="T50" s="428"/>
      <c r="U50" s="527">
        <v>12</v>
      </c>
      <c r="V50" s="318" t="s">
        <v>62</v>
      </c>
      <c r="W50" s="428"/>
      <c r="X50" s="577"/>
      <c r="Y50" s="577"/>
      <c r="Z50" s="612"/>
      <c r="AA50" s="33" t="s">
        <v>79</v>
      </c>
      <c r="AB50" s="27"/>
      <c r="AC50" s="733">
        <f>IF(OR(AK48=1,AJ55=1),IF(AL48&gt;0,30,"NO"),AC51-1)</f>
        <v>4</v>
      </c>
      <c r="AD50" s="950"/>
      <c r="AE50" s="6">
        <f>IF(AK47&gt;0,4,5)</f>
        <v>4</v>
      </c>
      <c r="AF50" s="6">
        <f>IF(AE50=4,AD49,0)</f>
        <v>4</v>
      </c>
      <c r="AG50" s="11">
        <f>IF(AE50=5,AD49,0)</f>
        <v>0</v>
      </c>
      <c r="AH50" s="6">
        <v>4</v>
      </c>
      <c r="AI50" s="6">
        <v>4</v>
      </c>
      <c r="AJ50" s="6">
        <f t="shared" si="23"/>
        <v>0</v>
      </c>
      <c r="AK50" s="6"/>
      <c r="AL50" s="6"/>
      <c r="AM50" s="6"/>
      <c r="AN50" s="11">
        <f>AE4</f>
        <v>2024</v>
      </c>
      <c r="AO50" s="11"/>
      <c r="AQ50" s="1000">
        <f>AN50</f>
        <v>2024</v>
      </c>
      <c r="AR50" s="924"/>
    </row>
    <row r="51" spans="1:66" ht="12.75" customHeight="1">
      <c r="A51" s="526"/>
      <c r="B51" s="680"/>
      <c r="C51" s="577"/>
      <c r="D51" s="577"/>
      <c r="E51" s="577"/>
      <c r="F51" s="577"/>
      <c r="G51" s="577"/>
      <c r="H51" s="580"/>
      <c r="I51" s="324"/>
      <c r="J51" s="29"/>
      <c r="K51" s="577"/>
      <c r="L51" s="577"/>
      <c r="N51" s="526"/>
      <c r="P51" s="428"/>
      <c r="Q51" s="428"/>
      <c r="R51" s="428"/>
      <c r="S51" s="428"/>
      <c r="T51" s="428"/>
      <c r="U51" s="428"/>
      <c r="V51" s="428"/>
      <c r="W51" s="428"/>
      <c r="X51" s="577"/>
      <c r="Y51" s="577"/>
      <c r="Z51" s="612"/>
      <c r="AA51" s="33" t="s">
        <v>80</v>
      </c>
      <c r="AB51" s="27"/>
      <c r="AC51" s="733">
        <f>IF(AK48=1,IF(AL48&gt;0,AL55,"NO"),AJ55)</f>
        <v>5</v>
      </c>
      <c r="AD51" s="950"/>
      <c r="AE51" s="6">
        <v>5</v>
      </c>
      <c r="AF51" s="6"/>
      <c r="AG51" s="11"/>
      <c r="AH51" s="6">
        <v>3</v>
      </c>
      <c r="AI51" s="6">
        <v>5</v>
      </c>
      <c r="AJ51" s="6">
        <f t="shared" si="23"/>
        <v>5</v>
      </c>
      <c r="AK51" s="6"/>
      <c r="AL51" s="6"/>
      <c r="AM51" s="6"/>
      <c r="AN51" s="733">
        <f>2008-AN50</f>
        <v>-16</v>
      </c>
      <c r="AO51" s="733"/>
      <c r="AQ51" s="1000">
        <f>AQ50-1238</f>
        <v>786</v>
      </c>
      <c r="AR51" s="1001"/>
    </row>
    <row r="52" spans="1:66" ht="12.75" customHeight="1">
      <c r="A52" s="526"/>
      <c r="B52" s="681">
        <f>DAY(C53)</f>
        <v>14</v>
      </c>
      <c r="C52" s="945" t="s">
        <v>33</v>
      </c>
      <c r="D52" s="945"/>
      <c r="E52" s="945"/>
      <c r="F52" s="318" t="s">
        <v>48</v>
      </c>
      <c r="G52" s="428"/>
      <c r="H52" s="428"/>
      <c r="I52" s="428"/>
      <c r="J52" s="428"/>
      <c r="K52" s="428"/>
      <c r="L52" s="428"/>
      <c r="N52" s="526"/>
      <c r="P52" s="428"/>
      <c r="Q52" s="428"/>
      <c r="R52" s="428"/>
      <c r="S52" s="589">
        <f>DAY(Q56)</f>
        <v>31</v>
      </c>
      <c r="T52" s="318" t="s">
        <v>935</v>
      </c>
      <c r="U52" s="428"/>
      <c r="V52" s="428"/>
      <c r="W52" s="428"/>
      <c r="X52" s="428"/>
      <c r="Y52" s="428"/>
      <c r="Z52" s="614"/>
      <c r="AA52" s="6"/>
      <c r="AB52" s="6"/>
      <c r="AC52" s="6"/>
      <c r="AD52" s="6">
        <f>IF(AL48&gt;0,DAY(AC51)," ")</f>
        <v>5</v>
      </c>
      <c r="AE52" s="6"/>
      <c r="AF52" s="6"/>
      <c r="AG52" s="11"/>
      <c r="AH52" s="6">
        <v>2</v>
      </c>
      <c r="AI52" s="6">
        <v>6</v>
      </c>
      <c r="AJ52" s="6">
        <f t="shared" si="23"/>
        <v>0</v>
      </c>
      <c r="AK52" s="6"/>
      <c r="AL52" s="6"/>
      <c r="AM52" s="6"/>
      <c r="AN52" s="6">
        <f>IF(AN51&lt;1,AN67,11)</f>
        <v>8</v>
      </c>
      <c r="AO52" s="6"/>
      <c r="AQ52" s="3">
        <f>IF(AQ51&gt;0,1,0)</f>
        <v>1</v>
      </c>
    </row>
    <row r="53" spans="1:66" ht="12.75" customHeight="1">
      <c r="A53" s="526"/>
      <c r="C53" s="918">
        <f>P53</f>
        <v>45336</v>
      </c>
      <c r="D53" s="918"/>
      <c r="E53" s="918"/>
      <c r="F53" s="953">
        <f>WEEKDAY(C53,2)</f>
        <v>3</v>
      </c>
      <c r="G53" s="949"/>
      <c r="H53" s="949"/>
      <c r="I53" s="918"/>
      <c r="J53" s="954"/>
      <c r="K53" s="954"/>
      <c r="L53" s="955">
        <f>IF(OR(W4=400,W4=1200,W4=1600),Q56-45,Q56-46)</f>
        <v>45336</v>
      </c>
      <c r="M53" s="953"/>
      <c r="N53" s="953"/>
      <c r="O53" s="953"/>
      <c r="P53" s="956">
        <f>IF(OR(W4=100,W4=500,W4=1300,W4=1700,W4=1900),Q56-47,L53)</f>
        <v>45336</v>
      </c>
      <c r="Q53" s="957"/>
      <c r="R53" s="957"/>
      <c r="S53" s="428"/>
      <c r="T53" s="428"/>
      <c r="U53" s="428"/>
      <c r="V53" s="428"/>
      <c r="W53" s="428"/>
      <c r="X53" s="428"/>
      <c r="Y53" s="428"/>
      <c r="Z53" s="614"/>
      <c r="AA53" s="728" t="s">
        <v>23</v>
      </c>
      <c r="AB53" s="728"/>
      <c r="AC53" s="728"/>
      <c r="AD53" s="6"/>
      <c r="AE53" s="6"/>
      <c r="AF53" s="6"/>
      <c r="AG53" s="11"/>
      <c r="AH53" s="6">
        <v>1</v>
      </c>
      <c r="AI53" s="6">
        <v>7</v>
      </c>
      <c r="AJ53" s="6">
        <f t="shared" si="23"/>
        <v>0</v>
      </c>
      <c r="AK53" s="6"/>
      <c r="AL53" s="6"/>
      <c r="AM53" s="6"/>
      <c r="AN53" s="6"/>
      <c r="AO53" s="6"/>
    </row>
    <row r="54" spans="1:66" ht="12.75" customHeight="1">
      <c r="A54" s="526"/>
      <c r="C54" s="428"/>
      <c r="D54" s="428">
        <f>WEEKDAY(C53,2)</f>
        <v>3</v>
      </c>
      <c r="E54" s="428"/>
      <c r="F54" s="428"/>
      <c r="G54" s="428"/>
      <c r="H54" s="588">
        <v>28</v>
      </c>
      <c r="I54" s="588">
        <f>H54+1</f>
        <v>29</v>
      </c>
      <c r="J54" s="318" t="s">
        <v>375</v>
      </c>
      <c r="K54" s="428"/>
      <c r="L54" s="428"/>
      <c r="M54" s="599">
        <f>AC50</f>
        <v>4</v>
      </c>
      <c r="N54" s="590"/>
      <c r="O54" s="595">
        <f>AC51</f>
        <v>5</v>
      </c>
      <c r="P54" s="318" t="s">
        <v>936</v>
      </c>
      <c r="Q54" s="428"/>
      <c r="R54" s="428"/>
      <c r="S54" s="591">
        <v>9</v>
      </c>
      <c r="T54" s="318" t="s">
        <v>744</v>
      </c>
      <c r="U54" s="428"/>
      <c r="V54" s="428"/>
      <c r="W54" s="428"/>
      <c r="X54" s="428"/>
      <c r="Y54" s="428"/>
      <c r="Z54" s="612"/>
      <c r="AA54" s="928">
        <f>AA34-55</f>
        <v>45327</v>
      </c>
      <c r="AB54" s="928"/>
      <c r="AC54" s="928"/>
      <c r="AD54" s="18">
        <f>WEEKDAY(AA54,2)</f>
        <v>1</v>
      </c>
      <c r="AE54" s="728" t="str">
        <f>IF(AD54=1,"DILLUNS"," ")</f>
        <v>DILLUNS</v>
      </c>
      <c r="AF54" s="728"/>
      <c r="AG54" s="11"/>
      <c r="AH54" s="6">
        <v>0</v>
      </c>
      <c r="AI54" s="6">
        <v>1</v>
      </c>
      <c r="AJ54" s="6">
        <f t="shared" si="23"/>
        <v>0</v>
      </c>
      <c r="AK54" s="6"/>
      <c r="AL54" s="6"/>
      <c r="AM54" s="6"/>
      <c r="AN54" s="6"/>
      <c r="AO54" s="6"/>
    </row>
    <row r="55" spans="1:66" ht="12.75" customHeight="1">
      <c r="A55" s="526"/>
      <c r="B55" s="682">
        <f>DAY(C56)</f>
        <v>4</v>
      </c>
      <c r="C55" s="943" t="s">
        <v>32</v>
      </c>
      <c r="D55" s="943"/>
      <c r="E55" s="943"/>
      <c r="F55" s="944"/>
      <c r="G55" s="428"/>
      <c r="H55" s="945" t="s">
        <v>1</v>
      </c>
      <c r="I55" s="945"/>
      <c r="J55" s="945"/>
      <c r="K55" s="428"/>
      <c r="L55" s="945" t="s">
        <v>2</v>
      </c>
      <c r="M55" s="945"/>
      <c r="N55" s="945"/>
      <c r="O55" s="945"/>
      <c r="P55" s="428"/>
      <c r="Q55" s="945" t="s">
        <v>0</v>
      </c>
      <c r="R55" s="945"/>
      <c r="S55" s="945"/>
      <c r="T55" s="428"/>
      <c r="U55" s="947" t="s">
        <v>49</v>
      </c>
      <c r="V55" s="947"/>
      <c r="W55" s="947"/>
      <c r="X55" s="947"/>
      <c r="Y55" s="428"/>
      <c r="Z55" s="612"/>
      <c r="AA55" s="928">
        <f>AA54+4</f>
        <v>45331</v>
      </c>
      <c r="AB55" s="928"/>
      <c r="AC55" s="928"/>
      <c r="AD55" s="18">
        <f>WEEKDAY(AA55,2)</f>
        <v>5</v>
      </c>
      <c r="AE55" s="728" t="str">
        <f>IF(AD55=5,"DIVENDRES"," ")</f>
        <v>DIVENDRES</v>
      </c>
      <c r="AF55" s="728"/>
      <c r="AG55" s="6"/>
      <c r="AH55" s="6"/>
      <c r="AI55" s="6"/>
      <c r="AJ55" s="6">
        <f>SUM(AJ48:AJ54)</f>
        <v>5</v>
      </c>
      <c r="AK55" s="6" t="s">
        <v>81</v>
      </c>
      <c r="AL55" s="6">
        <v>1</v>
      </c>
      <c r="AM55" s="6" t="s">
        <v>81</v>
      </c>
      <c r="AN55" s="6"/>
      <c r="AO55" s="6"/>
    </row>
    <row r="56" spans="1:66" ht="12.75" customHeight="1">
      <c r="A56" s="526"/>
      <c r="C56" s="918">
        <f>$AA$46</f>
        <v>45355</v>
      </c>
      <c r="D56" s="918"/>
      <c r="E56" s="918"/>
      <c r="F56" s="918"/>
      <c r="G56" s="428"/>
      <c r="H56" s="918">
        <f>$AA$37</f>
        <v>45379</v>
      </c>
      <c r="I56" s="948"/>
      <c r="J56" s="948"/>
      <c r="K56" s="428"/>
      <c r="L56" s="918">
        <f>H56+1</f>
        <v>45380</v>
      </c>
      <c r="M56" s="949"/>
      <c r="N56" s="949"/>
      <c r="O56" s="949"/>
      <c r="P56" s="428"/>
      <c r="Q56" s="971">
        <f>$AA$34</f>
        <v>45382</v>
      </c>
      <c r="R56" s="971"/>
      <c r="S56" s="971"/>
      <c r="T56" s="428"/>
      <c r="U56" s="947"/>
      <c r="V56" s="947"/>
      <c r="W56" s="947"/>
      <c r="X56" s="947"/>
      <c r="Y56" s="428"/>
      <c r="Z56" s="612"/>
      <c r="AA56" s="6"/>
      <c r="AB56" s="6"/>
      <c r="AC56" s="6"/>
      <c r="AD56" s="6"/>
      <c r="AE56" s="6"/>
      <c r="AF56" s="6"/>
      <c r="AG56" s="6"/>
      <c r="AH56" s="6"/>
      <c r="AI56" s="6"/>
      <c r="AJ56" s="7" t="str">
        <f>CONCATENATE(AJ55,AK55,AE4)</f>
        <v>5may2024</v>
      </c>
      <c r="AK56" s="6"/>
      <c r="AL56" s="7" t="str">
        <f>CONCATENATE(AL55,AM55,AE4)</f>
        <v>1may2024</v>
      </c>
      <c r="AM56" s="6"/>
      <c r="AN56" s="6"/>
      <c r="AO56" s="206"/>
      <c r="AR56" s="208"/>
      <c r="AS56" s="208"/>
      <c r="AT56" s="208"/>
      <c r="AU56" s="209"/>
      <c r="AV56" s="209"/>
      <c r="AW56" s="209"/>
      <c r="AX56" s="209"/>
      <c r="AY56" s="209"/>
      <c r="AZ56" s="209"/>
      <c r="BA56" s="209"/>
      <c r="BB56" s="209"/>
      <c r="BC56" s="209"/>
      <c r="BD56" s="209"/>
      <c r="BE56" s="209"/>
      <c r="BF56" s="209"/>
      <c r="BG56" s="209"/>
      <c r="BH56" s="209"/>
      <c r="BI56" s="209"/>
      <c r="BJ56" s="209"/>
      <c r="BK56" s="209"/>
      <c r="BL56" s="209"/>
      <c r="BM56" s="209"/>
      <c r="BN56" s="209"/>
    </row>
    <row r="57" spans="1:66" ht="12" customHeight="1">
      <c r="A57" s="526"/>
      <c r="C57" s="428"/>
      <c r="D57" s="428"/>
      <c r="E57" s="428"/>
      <c r="F57" s="428"/>
      <c r="G57" s="428"/>
      <c r="H57" s="428"/>
      <c r="I57" s="428"/>
      <c r="J57" s="428"/>
      <c r="K57" s="428"/>
      <c r="L57" s="428"/>
      <c r="M57" s="600">
        <v>7</v>
      </c>
      <c r="N57" s="972" t="s">
        <v>964</v>
      </c>
      <c r="O57" s="973"/>
      <c r="P57" s="428"/>
      <c r="Q57" s="428"/>
      <c r="R57" s="528">
        <f>MONTH(Q56)</f>
        <v>3</v>
      </c>
      <c r="S57" s="428"/>
      <c r="T57" s="428"/>
      <c r="U57" s="428"/>
      <c r="V57" s="428"/>
      <c r="W57" s="428"/>
      <c r="X57" s="428"/>
      <c r="Y57" s="428"/>
      <c r="Z57" s="612"/>
      <c r="AA57" s="927" t="s">
        <v>96</v>
      </c>
      <c r="AB57" s="927"/>
      <c r="AC57" s="927"/>
      <c r="AD57" s="6"/>
      <c r="AE57" s="6"/>
      <c r="AF57" s="6"/>
      <c r="AG57" s="6"/>
      <c r="AH57" s="6"/>
      <c r="AI57" s="6"/>
      <c r="AJ57" s="1002">
        <f>IF(AN48=1,DATEVALUE(AJ56)," ")</f>
        <v>45417</v>
      </c>
      <c r="AK57" s="1002"/>
      <c r="AL57" s="1002">
        <f>IF(AN48=1,DATEVALUE(AL56)," ")</f>
        <v>45413</v>
      </c>
      <c r="AM57" s="1002"/>
      <c r="AN57" s="6"/>
      <c r="AO57" s="206"/>
      <c r="AR57" s="231" t="s">
        <v>815</v>
      </c>
      <c r="AS57" s="208"/>
      <c r="AT57" s="208"/>
      <c r="AU57" s="209" t="s">
        <v>815</v>
      </c>
      <c r="AV57" s="209"/>
      <c r="AW57" s="209"/>
      <c r="AX57" s="209"/>
      <c r="AY57" s="209"/>
      <c r="AZ57" s="209"/>
      <c r="BA57" s="209"/>
      <c r="BB57" s="209" t="s">
        <v>247</v>
      </c>
      <c r="BC57" s="209"/>
      <c r="BD57" s="209" t="s">
        <v>816</v>
      </c>
      <c r="BE57" s="209"/>
      <c r="BF57" s="209" t="s">
        <v>817</v>
      </c>
      <c r="BG57" s="209"/>
      <c r="BH57" s="209" t="s">
        <v>816</v>
      </c>
      <c r="BI57" s="209"/>
      <c r="BJ57" s="209"/>
      <c r="BK57" s="209"/>
      <c r="BL57" s="209"/>
      <c r="BM57" s="209"/>
      <c r="BN57" s="209"/>
    </row>
    <row r="58" spans="1:66" ht="12.75" customHeight="1">
      <c r="A58" s="526"/>
      <c r="C58" s="945" t="s">
        <v>31</v>
      </c>
      <c r="D58" s="945"/>
      <c r="E58" s="945"/>
      <c r="F58" s="428"/>
      <c r="G58" s="428"/>
      <c r="H58" s="943" t="s">
        <v>46</v>
      </c>
      <c r="I58" s="943"/>
      <c r="J58" s="943"/>
      <c r="K58" s="944"/>
      <c r="L58" s="943"/>
      <c r="M58" s="943"/>
      <c r="N58" s="943"/>
      <c r="O58" s="943"/>
      <c r="P58" s="944"/>
      <c r="Q58" s="428"/>
      <c r="R58" s="943" t="s">
        <v>47</v>
      </c>
      <c r="S58" s="943"/>
      <c r="T58" s="943"/>
      <c r="U58" s="944"/>
      <c r="V58" s="930"/>
      <c r="W58" s="428"/>
      <c r="X58" s="428"/>
      <c r="Y58" s="428"/>
      <c r="Z58" s="612"/>
      <c r="AA58" s="247">
        <f>MONTH(AB58)</f>
        <v>5</v>
      </c>
      <c r="AB58" s="395">
        <f>$H$59</f>
        <v>45431</v>
      </c>
      <c r="AC58" s="247">
        <f>IF(AA58=5,AB59,"no")</f>
        <v>19</v>
      </c>
      <c r="AD58" s="18" t="str">
        <f>IF(AA58=6,AB59,"no")</f>
        <v>no</v>
      </c>
      <c r="AE58" s="728"/>
      <c r="AF58" s="728"/>
      <c r="AG58" s="6"/>
      <c r="AH58" s="6"/>
      <c r="AI58" s="6">
        <f>DAY(AJ58)</f>
        <v>6</v>
      </c>
      <c r="AJ58" s="928">
        <f>AJ57+1</f>
        <v>45418</v>
      </c>
      <c r="AK58" s="928"/>
      <c r="AL58" s="6"/>
      <c r="AM58" s="6"/>
      <c r="AN58" s="6"/>
      <c r="AO58" s="206"/>
      <c r="AP58" s="211">
        <f>luna!$A$64</f>
        <v>11</v>
      </c>
      <c r="AQ58" s="923" t="s">
        <v>818</v>
      </c>
      <c r="AR58" s="924"/>
      <c r="AS58" s="924"/>
      <c r="AT58" s="925">
        <v>42370</v>
      </c>
      <c r="AU58" s="926"/>
      <c r="AV58" s="209"/>
      <c r="AW58" s="209" t="s">
        <v>819</v>
      </c>
      <c r="AX58" s="209"/>
      <c r="AY58" s="21" t="s">
        <v>820</v>
      </c>
      <c r="AZ58" s="209"/>
      <c r="BA58" s="209"/>
      <c r="BB58" s="209" t="s">
        <v>821</v>
      </c>
      <c r="BC58" s="209"/>
      <c r="BD58" s="209" t="s">
        <v>0</v>
      </c>
      <c r="BE58" s="209"/>
      <c r="BF58" s="209" t="s">
        <v>822</v>
      </c>
      <c r="BG58" s="209"/>
      <c r="BH58" s="209" t="s">
        <v>0</v>
      </c>
      <c r="BI58" s="209"/>
      <c r="BJ58" s="209"/>
      <c r="BK58" s="209"/>
      <c r="BL58" s="209"/>
      <c r="BM58" s="209"/>
      <c r="BN58" s="209"/>
    </row>
    <row r="59" spans="1:66" ht="12.75" customHeight="1">
      <c r="A59" s="526"/>
      <c r="B59" s="683">
        <f>AB41</f>
        <v>8</v>
      </c>
      <c r="C59" s="918">
        <f>$AA$40</f>
        <v>45390</v>
      </c>
      <c r="D59" s="948"/>
      <c r="E59" s="948"/>
      <c r="F59" s="428"/>
      <c r="G59" s="428"/>
      <c r="H59" s="918">
        <f>Q56+49</f>
        <v>45431</v>
      </c>
      <c r="I59" s="918"/>
      <c r="J59" s="918"/>
      <c r="K59" s="918"/>
      <c r="L59" s="918"/>
      <c r="M59" s="954"/>
      <c r="N59" s="954"/>
      <c r="O59" s="954"/>
      <c r="P59" s="428">
        <f>IF(AH4&gt;1990,14,P60)</f>
        <v>14</v>
      </c>
      <c r="Q59" s="593">
        <f>IF(AH4&gt;1263,DAY(R59),"no")</f>
        <v>2</v>
      </c>
      <c r="R59" s="918">
        <f>IF(AH4&gt;1263,H59+P59,"NO")</f>
        <v>45445</v>
      </c>
      <c r="S59" s="918"/>
      <c r="T59" s="918"/>
      <c r="U59" s="918"/>
      <c r="V59" s="428">
        <f>IF(AH4&gt;1263,MONTH(R59),"no")</f>
        <v>6</v>
      </c>
      <c r="W59" s="428" t="str">
        <f>IF(V59=5,DAY(R59),"NO")</f>
        <v>NO</v>
      </c>
      <c r="X59" s="428"/>
      <c r="Y59" s="428"/>
      <c r="Z59" s="612"/>
      <c r="AA59" s="218"/>
      <c r="AB59" s="247">
        <f>DAY(AB58)</f>
        <v>19</v>
      </c>
      <c r="AC59" s="218"/>
      <c r="AD59" s="18"/>
      <c r="AE59" s="728"/>
      <c r="AF59" s="728"/>
      <c r="AG59" s="6"/>
      <c r="AH59" s="6"/>
      <c r="AI59" s="6"/>
      <c r="AJ59" s="6"/>
      <c r="AK59" s="6"/>
      <c r="AP59" s="3" t="s">
        <v>823</v>
      </c>
      <c r="AQ59" s="210" t="s">
        <v>824</v>
      </c>
      <c r="AR59" s="208"/>
      <c r="AS59" s="208"/>
      <c r="AT59" s="234" t="s">
        <v>825</v>
      </c>
      <c r="AU59" s="209"/>
      <c r="AV59" s="209"/>
      <c r="AW59" s="209"/>
      <c r="AX59" s="209"/>
      <c r="AY59" s="209"/>
      <c r="AZ59" s="209"/>
      <c r="BA59" s="209"/>
      <c r="BB59" s="209"/>
      <c r="BC59" s="209"/>
      <c r="BD59" s="209"/>
      <c r="BE59" s="209"/>
      <c r="BF59" s="209"/>
      <c r="BG59" s="209"/>
      <c r="BH59" s="209"/>
      <c r="BI59" s="209"/>
      <c r="BJ59" s="209"/>
      <c r="BK59" s="209"/>
      <c r="BL59" s="209"/>
      <c r="BM59" s="209"/>
      <c r="BN59" s="209"/>
    </row>
    <row r="60" spans="1:66" ht="12.75" customHeight="1">
      <c r="A60" s="526"/>
      <c r="C60" s="428"/>
      <c r="D60" s="428"/>
      <c r="E60" s="428"/>
      <c r="F60" s="428"/>
      <c r="G60" s="428"/>
      <c r="H60" s="318"/>
      <c r="I60" s="428" t="s">
        <v>74</v>
      </c>
      <c r="J60" s="428"/>
      <c r="K60" s="428"/>
      <c r="L60" s="428"/>
      <c r="N60" s="526"/>
      <c r="P60" s="428">
        <f>IF(AH4&gt;1990,14,11)</f>
        <v>14</v>
      </c>
      <c r="Q60" s="428"/>
      <c r="R60" s="428"/>
      <c r="S60" s="428"/>
      <c r="T60" s="428">
        <f>DAY(R59)</f>
        <v>2</v>
      </c>
      <c r="U60" s="428"/>
      <c r="V60" s="428">
        <f>IF(AH4&gt;1263,MONTH(R59),"no")</f>
        <v>6</v>
      </c>
      <c r="W60" s="428">
        <f>IF(V60=6,DAY(R59),"NO")</f>
        <v>2</v>
      </c>
      <c r="X60" s="428"/>
      <c r="Y60" s="428"/>
      <c r="Z60" s="612"/>
      <c r="AA60" s="6"/>
      <c r="AB60" s="6"/>
      <c r="AC60" s="6"/>
      <c r="AD60" s="6"/>
      <c r="AE60" s="6"/>
      <c r="AF60" s="6"/>
      <c r="AG60" s="6">
        <v>1</v>
      </c>
      <c r="AH60" s="6" t="s">
        <v>88</v>
      </c>
      <c r="AI60" s="11">
        <f>AE4</f>
        <v>2024</v>
      </c>
      <c r="AJ60" s="6"/>
      <c r="AK60" s="6"/>
      <c r="AL60" s="6">
        <v>1</v>
      </c>
      <c r="AM60" s="6">
        <v>11</v>
      </c>
      <c r="AN60" s="6">
        <f>IF(AL60=$AI$61,AM60,0)</f>
        <v>0</v>
      </c>
      <c r="AO60" s="206"/>
      <c r="AP60" s="3">
        <v>1</v>
      </c>
      <c r="AR60" s="231">
        <v>0</v>
      </c>
      <c r="AS60" s="208"/>
      <c r="AT60" s="208"/>
      <c r="AU60" s="209">
        <f>IF(AR60+8&lt;30,AR60+8,AR60+8-30)</f>
        <v>8</v>
      </c>
      <c r="AV60" s="209"/>
      <c r="AW60" s="209">
        <v>17</v>
      </c>
      <c r="AX60" s="209"/>
      <c r="AY60" s="209">
        <v>5</v>
      </c>
      <c r="AZ60" s="209"/>
      <c r="BA60" s="209">
        <f>IF($AU$82+AY60&gt;7,$AU$82+AY60-7,$AU$82+AY60)</f>
        <v>6</v>
      </c>
      <c r="BB60" s="209" t="str">
        <f t="shared" ref="BB60:BB78" si="24">VLOOKUP($BA60,$AK$20:$AN$27,3)</f>
        <v>Viernes</v>
      </c>
      <c r="BC60" s="209"/>
      <c r="BD60" s="209">
        <f>8-BA60</f>
        <v>2</v>
      </c>
      <c r="BE60" s="209"/>
      <c r="BF60" s="209">
        <v>26</v>
      </c>
      <c r="BG60" s="209"/>
      <c r="BH60" s="209">
        <f>11+BF60</f>
        <v>37</v>
      </c>
      <c r="BI60" s="209"/>
      <c r="BJ60" s="209" t="s">
        <v>109</v>
      </c>
      <c r="BK60" s="209"/>
      <c r="BL60" s="209"/>
      <c r="BM60" s="209"/>
      <c r="BN60" s="209"/>
    </row>
    <row r="61" spans="1:66" ht="12.75" customHeight="1">
      <c r="A61" s="526"/>
      <c r="B61" s="684">
        <f>26</f>
        <v>26</v>
      </c>
      <c r="C61" s="318" t="s">
        <v>746</v>
      </c>
      <c r="D61" s="428"/>
      <c r="E61" s="428"/>
      <c r="F61" s="428"/>
      <c r="G61" s="428"/>
      <c r="H61" s="428"/>
      <c r="I61" s="593">
        <f>S65</f>
        <v>23</v>
      </c>
      <c r="J61" s="318" t="s">
        <v>745</v>
      </c>
      <c r="K61" s="428"/>
      <c r="L61" s="428"/>
      <c r="M61" s="457">
        <v>25</v>
      </c>
      <c r="N61" s="526"/>
      <c r="P61" s="428"/>
      <c r="Q61" s="428"/>
      <c r="R61" s="428" t="s">
        <v>731</v>
      </c>
      <c r="S61" s="428"/>
      <c r="T61" s="428"/>
      <c r="U61" s="428"/>
      <c r="V61" s="428"/>
      <c r="W61" s="428"/>
      <c r="X61" s="428"/>
      <c r="Y61" s="428"/>
      <c r="Z61" s="612"/>
      <c r="AA61" s="7" t="s">
        <v>25</v>
      </c>
      <c r="AB61" s="6"/>
      <c r="AC61" s="6"/>
      <c r="AD61" s="6"/>
      <c r="AE61" s="6" t="s">
        <v>85</v>
      </c>
      <c r="AF61" s="6"/>
      <c r="AG61" s="932">
        <f>AA14</f>
        <v>45505</v>
      </c>
      <c r="AH61" s="932"/>
      <c r="AI61" s="6">
        <f>$AC$14</f>
        <v>4</v>
      </c>
      <c r="AJ61" s="6"/>
      <c r="AK61" s="6"/>
      <c r="AL61" s="6">
        <v>2</v>
      </c>
      <c r="AM61" s="6">
        <v>10</v>
      </c>
      <c r="AN61" s="6">
        <f t="shared" ref="AN61:AN66" si="25">IF(AL61=$AI$61,AM61,0)</f>
        <v>0</v>
      </c>
      <c r="AO61" s="206"/>
      <c r="AP61" s="3">
        <v>2</v>
      </c>
      <c r="AR61" s="231">
        <v>11</v>
      </c>
      <c r="AS61" s="208"/>
      <c r="AT61" s="208"/>
      <c r="AU61" s="209">
        <f t="shared" ref="AU61:AU78" si="26">IF(AR61+8&lt;30,AR61+8,AR61+8-30)</f>
        <v>19</v>
      </c>
      <c r="AV61" s="209"/>
      <c r="AW61" s="209">
        <v>18</v>
      </c>
      <c r="AX61" s="209"/>
      <c r="AY61" s="209">
        <v>1</v>
      </c>
      <c r="AZ61" s="209"/>
      <c r="BA61" s="209">
        <f t="shared" ref="BA61:BA78" si="27">IF($AU$82+AY61&gt;7,$AU$82+AY61-7,$AU$82+AY61)</f>
        <v>2</v>
      </c>
      <c r="BB61" s="209" t="str">
        <f t="shared" si="24"/>
        <v>Lunes</v>
      </c>
      <c r="BC61" s="209"/>
      <c r="BD61" s="209">
        <f t="shared" ref="BD61:BD78" si="28">8-BA61</f>
        <v>6</v>
      </c>
      <c r="BE61" s="209"/>
      <c r="BF61" s="209">
        <v>15</v>
      </c>
      <c r="BG61" s="209"/>
      <c r="BH61" s="209">
        <f t="shared" ref="BH61:BH78" si="29">11+BF61</f>
        <v>26</v>
      </c>
      <c r="BI61" s="209"/>
      <c r="BJ61" s="235">
        <f>AV87</f>
        <v>2024</v>
      </c>
      <c r="BK61" s="209"/>
      <c r="BL61" s="209"/>
      <c r="BM61" s="209"/>
      <c r="BN61" s="209"/>
    </row>
    <row r="62" spans="1:66" ht="12.75" customHeight="1">
      <c r="A62" s="526"/>
      <c r="C62" s="428"/>
      <c r="D62" s="428"/>
      <c r="E62" s="428"/>
      <c r="F62" s="428"/>
      <c r="G62" s="945"/>
      <c r="H62" s="945"/>
      <c r="I62" s="945"/>
      <c r="J62" s="428"/>
      <c r="K62" s="428"/>
      <c r="L62" s="428"/>
      <c r="N62" s="526"/>
      <c r="O62" s="458">
        <f>IF(AH4&gt;1990,7,10)</f>
        <v>7</v>
      </c>
      <c r="P62" s="428"/>
      <c r="Q62" s="593">
        <f>DAY(S62)</f>
        <v>12</v>
      </c>
      <c r="R62" s="428"/>
      <c r="S62" s="918">
        <f>IF(AH4&gt;324,H59-O62,"NO")</f>
        <v>45424</v>
      </c>
      <c r="T62" s="919"/>
      <c r="U62" s="428">
        <f>MONTH(S$62)</f>
        <v>5</v>
      </c>
      <c r="V62" s="428">
        <f>IF(U62=5,DAY(S62),"NO")</f>
        <v>12</v>
      </c>
      <c r="W62" s="428"/>
      <c r="X62" s="428"/>
      <c r="Y62" s="428"/>
      <c r="Z62" s="612"/>
      <c r="AA62" s="933">
        <v>38945</v>
      </c>
      <c r="AB62" s="933"/>
      <c r="AC62" s="6">
        <f>$AH$4</f>
        <v>2024</v>
      </c>
      <c r="AE62" s="6"/>
      <c r="AF62" s="6"/>
      <c r="AG62" s="931"/>
      <c r="AH62" s="931"/>
      <c r="AI62" s="6"/>
      <c r="AJ62" s="6"/>
      <c r="AK62" s="6"/>
      <c r="AL62" s="6">
        <v>3</v>
      </c>
      <c r="AM62" s="6">
        <v>9</v>
      </c>
      <c r="AN62" s="6">
        <f t="shared" si="25"/>
        <v>0</v>
      </c>
      <c r="AO62" s="206"/>
      <c r="AP62" s="3">
        <v>3</v>
      </c>
      <c r="AR62" s="231">
        <v>22</v>
      </c>
      <c r="AS62" s="208"/>
      <c r="AT62" s="208"/>
      <c r="AU62" s="209">
        <f t="shared" si="26"/>
        <v>0</v>
      </c>
      <c r="AV62" s="209"/>
      <c r="AW62" s="209">
        <v>19</v>
      </c>
      <c r="AX62" s="209"/>
      <c r="AY62" s="209">
        <v>6</v>
      </c>
      <c r="AZ62" s="209"/>
      <c r="BA62" s="209">
        <f t="shared" si="27"/>
        <v>7</v>
      </c>
      <c r="BB62" s="209" t="str">
        <f t="shared" si="24"/>
        <v>Sábado</v>
      </c>
      <c r="BC62" s="209"/>
      <c r="BD62" s="209">
        <f t="shared" si="28"/>
        <v>1</v>
      </c>
      <c r="BE62" s="209"/>
      <c r="BF62" s="209">
        <v>34</v>
      </c>
      <c r="BG62" s="209"/>
      <c r="BH62" s="209">
        <f t="shared" si="29"/>
        <v>45</v>
      </c>
      <c r="BI62" s="209"/>
      <c r="BJ62" s="209"/>
    </row>
    <row r="63" spans="1:66" ht="12.75" customHeight="1">
      <c r="A63" s="526"/>
      <c r="B63" s="705">
        <v>8</v>
      </c>
      <c r="C63" s="704"/>
      <c r="D63" s="318" t="s">
        <v>978</v>
      </c>
      <c r="E63" s="428"/>
      <c r="F63" s="428"/>
      <c r="G63" s="428"/>
      <c r="H63" s="428"/>
      <c r="I63" s="428"/>
      <c r="J63" s="428"/>
      <c r="K63" s="428"/>
      <c r="L63" s="428"/>
      <c r="N63" s="526"/>
      <c r="P63" s="428"/>
      <c r="Q63" s="428"/>
      <c r="R63" s="428"/>
      <c r="S63" s="428"/>
      <c r="T63" s="428"/>
      <c r="U63" s="428">
        <f>MONTH(S$62)</f>
        <v>5</v>
      </c>
      <c r="V63" s="428" t="str">
        <f>IF(U63=6,DAY(S62),"NO")</f>
        <v>NO</v>
      </c>
      <c r="W63" s="428"/>
      <c r="X63" s="428"/>
      <c r="Y63" s="428"/>
      <c r="AA63" s="6"/>
      <c r="AB63" s="6"/>
      <c r="AC63" s="6"/>
      <c r="AD63" s="7" t="s">
        <v>86</v>
      </c>
      <c r="AE63" s="6"/>
      <c r="AF63" s="6"/>
      <c r="AG63" s="6">
        <f>IF(AQ52=1,AN52," ")</f>
        <v>8</v>
      </c>
      <c r="AH63" s="6" t="str">
        <f>IF(AQ52=1,"ago"," ")</f>
        <v>ago</v>
      </c>
      <c r="AI63" s="11">
        <f>AI60</f>
        <v>2024</v>
      </c>
      <c r="AJ63" s="6">
        <v>11</v>
      </c>
      <c r="AK63" s="6"/>
      <c r="AL63" s="6">
        <v>4</v>
      </c>
      <c r="AM63" s="6">
        <v>8</v>
      </c>
      <c r="AN63" s="6">
        <f t="shared" si="25"/>
        <v>8</v>
      </c>
      <c r="AO63" s="206"/>
      <c r="AP63" s="3">
        <v>4</v>
      </c>
      <c r="AR63" s="231">
        <v>3</v>
      </c>
      <c r="AS63" s="208"/>
      <c r="AT63" s="208"/>
      <c r="AU63" s="209">
        <f t="shared" si="26"/>
        <v>11</v>
      </c>
      <c r="AV63" s="209"/>
      <c r="AW63" s="209">
        <f t="shared" ref="AW63:AW78" si="30">AP63-3</f>
        <v>1</v>
      </c>
      <c r="AX63" s="209"/>
      <c r="AY63" s="209">
        <v>2</v>
      </c>
      <c r="AZ63" s="209"/>
      <c r="BA63" s="209">
        <f t="shared" si="27"/>
        <v>3</v>
      </c>
      <c r="BB63" s="209" t="str">
        <f t="shared" si="24"/>
        <v>Martes</v>
      </c>
      <c r="BC63" s="209"/>
      <c r="BD63" s="209">
        <f t="shared" si="28"/>
        <v>5</v>
      </c>
      <c r="BE63" s="209"/>
      <c r="BF63" s="209">
        <v>23</v>
      </c>
      <c r="BG63" s="209"/>
      <c r="BH63" s="209">
        <f t="shared" si="29"/>
        <v>34</v>
      </c>
      <c r="BI63" s="209"/>
      <c r="BJ63" s="209"/>
    </row>
    <row r="64" spans="1:66" ht="12.75" customHeight="1">
      <c r="A64" s="526"/>
      <c r="C64" s="428"/>
      <c r="D64" s="428"/>
      <c r="E64" s="428"/>
      <c r="F64" s="428"/>
      <c r="G64" s="428"/>
      <c r="H64" s="428"/>
      <c r="I64" s="428"/>
      <c r="J64" s="428"/>
      <c r="K64" s="428"/>
      <c r="L64" s="428"/>
      <c r="M64" s="601"/>
      <c r="N64" s="594"/>
      <c r="P64" s="428"/>
      <c r="Q64" s="428"/>
      <c r="R64" s="428" t="s">
        <v>733</v>
      </c>
      <c r="S64" s="428"/>
      <c r="T64" s="428"/>
      <c r="U64" s="428"/>
      <c r="V64" s="428"/>
      <c r="W64" s="428"/>
      <c r="X64" s="428"/>
      <c r="Y64" s="428"/>
      <c r="AA64" s="6"/>
      <c r="AB64" s="6"/>
      <c r="AC64" s="6"/>
      <c r="AG64" s="929" t="str">
        <f>CONCATENATE(AG63,AH63,AI63)</f>
        <v>8ago2024</v>
      </c>
      <c r="AH64" s="930"/>
      <c r="AJ64" s="929" t="str">
        <f>CONCATENATE(AJ63,AH63,AI63)</f>
        <v>11ago2024</v>
      </c>
      <c r="AK64" s="930"/>
      <c r="AL64" s="6">
        <v>5</v>
      </c>
      <c r="AM64" s="6">
        <v>7</v>
      </c>
      <c r="AN64" s="6">
        <f t="shared" si="25"/>
        <v>0</v>
      </c>
      <c r="AO64" s="206"/>
      <c r="AP64" s="3">
        <v>5</v>
      </c>
      <c r="AR64" s="231">
        <v>14</v>
      </c>
      <c r="AS64" s="208"/>
      <c r="AT64" s="208"/>
      <c r="AU64" s="209">
        <f t="shared" si="26"/>
        <v>22</v>
      </c>
      <c r="AV64" s="209"/>
      <c r="AW64" s="209">
        <f t="shared" si="30"/>
        <v>2</v>
      </c>
      <c r="AX64" s="209"/>
      <c r="AY64" s="209">
        <v>5</v>
      </c>
      <c r="AZ64" s="209"/>
      <c r="BA64" s="209">
        <f t="shared" si="27"/>
        <v>6</v>
      </c>
      <c r="BB64" s="209" t="str">
        <f t="shared" si="24"/>
        <v>Viernes</v>
      </c>
      <c r="BC64" s="209"/>
      <c r="BD64" s="209">
        <f t="shared" si="28"/>
        <v>2</v>
      </c>
      <c r="BE64" s="209"/>
      <c r="BF64" s="209">
        <v>12</v>
      </c>
      <c r="BG64" s="209"/>
      <c r="BH64" s="209">
        <f t="shared" si="29"/>
        <v>23</v>
      </c>
      <c r="BI64" s="209"/>
      <c r="BJ64" s="209"/>
    </row>
    <row r="65" spans="1:66" ht="13.5" customHeight="1">
      <c r="A65" s="526"/>
      <c r="C65" s="428"/>
      <c r="D65" s="428"/>
      <c r="E65" s="428"/>
      <c r="F65" s="428"/>
      <c r="G65" s="428"/>
      <c r="H65" s="428"/>
      <c r="I65" s="428"/>
      <c r="J65" s="428"/>
      <c r="K65" s="428"/>
      <c r="L65" s="428"/>
      <c r="N65" s="526"/>
      <c r="P65" s="428"/>
      <c r="Q65" s="918">
        <f>R59+V65+14</f>
        <v>45466</v>
      </c>
      <c r="R65" s="919"/>
      <c r="S65" s="428">
        <f>DAY(Q65)</f>
        <v>23</v>
      </c>
      <c r="T65" s="428"/>
      <c r="U65" s="428"/>
      <c r="V65" s="428">
        <f>IF(W4&gt;1990,7,10)</f>
        <v>7</v>
      </c>
      <c r="W65" s="428"/>
      <c r="X65" s="428"/>
      <c r="Y65" s="428"/>
      <c r="AA65" s="259" t="s">
        <v>738</v>
      </c>
      <c r="AB65" s="6"/>
      <c r="AC65" s="6"/>
      <c r="AD65" s="6"/>
      <c r="AE65" s="6"/>
      <c r="AF65" s="6"/>
      <c r="AG65" s="733">
        <f>IF(AQ52=1,AN52," ")</f>
        <v>8</v>
      </c>
      <c r="AH65" s="733"/>
      <c r="AI65" s="6"/>
      <c r="AJ65" s="733">
        <f>AJ63</f>
        <v>11</v>
      </c>
      <c r="AK65" s="733"/>
      <c r="AL65" s="6">
        <v>6</v>
      </c>
      <c r="AM65" s="6">
        <v>13</v>
      </c>
      <c r="AN65" s="6">
        <f t="shared" si="25"/>
        <v>0</v>
      </c>
      <c r="AO65" s="206"/>
      <c r="AP65" s="3">
        <v>6</v>
      </c>
      <c r="AR65" s="231">
        <v>25</v>
      </c>
      <c r="AS65" s="208"/>
      <c r="AT65" s="208"/>
      <c r="AU65" s="209">
        <f t="shared" si="26"/>
        <v>3</v>
      </c>
      <c r="AV65" s="209"/>
      <c r="AW65" s="209">
        <f t="shared" si="30"/>
        <v>3</v>
      </c>
      <c r="AX65" s="209"/>
      <c r="AY65" s="209">
        <v>3</v>
      </c>
      <c r="AZ65" s="209"/>
      <c r="BA65" s="209">
        <f t="shared" si="27"/>
        <v>4</v>
      </c>
      <c r="BB65" s="209" t="str">
        <f t="shared" si="24"/>
        <v>Miércoles</v>
      </c>
      <c r="BC65" s="209"/>
      <c r="BD65" s="209">
        <f t="shared" si="28"/>
        <v>4</v>
      </c>
      <c r="BE65" s="209"/>
      <c r="BF65" s="209">
        <v>31</v>
      </c>
      <c r="BG65" s="209"/>
      <c r="BH65" s="209">
        <f t="shared" si="29"/>
        <v>42</v>
      </c>
      <c r="BI65" s="209"/>
      <c r="BJ65" s="209"/>
    </row>
    <row r="66" spans="1:66" ht="12.75" hidden="1" customHeight="1">
      <c r="AA66" s="6"/>
      <c r="AB66" s="6"/>
      <c r="AC66" s="6"/>
      <c r="AD66" s="6"/>
      <c r="AE66" s="6"/>
      <c r="AF66" s="6"/>
      <c r="AG66" s="6"/>
      <c r="AH66" s="6"/>
      <c r="AI66" s="6"/>
      <c r="AJ66" s="6"/>
      <c r="AK66" s="6"/>
      <c r="AL66" s="6">
        <v>0</v>
      </c>
      <c r="AM66" s="6">
        <v>12</v>
      </c>
      <c r="AN66" s="6">
        <f t="shared" si="25"/>
        <v>0</v>
      </c>
      <c r="AO66" s="206"/>
      <c r="AP66" s="3">
        <v>7</v>
      </c>
      <c r="AR66" s="231">
        <v>6</v>
      </c>
      <c r="AS66" s="208"/>
      <c r="AT66" s="208"/>
      <c r="AU66" s="209">
        <f t="shared" si="26"/>
        <v>14</v>
      </c>
      <c r="AV66" s="209"/>
      <c r="AW66" s="209">
        <f t="shared" si="30"/>
        <v>4</v>
      </c>
      <c r="AX66" s="209"/>
      <c r="AY66" s="209">
        <v>6</v>
      </c>
      <c r="AZ66" s="209"/>
      <c r="BA66" s="209">
        <f t="shared" si="27"/>
        <v>7</v>
      </c>
      <c r="BB66" s="209" t="str">
        <f t="shared" si="24"/>
        <v>Sábado</v>
      </c>
      <c r="BC66" s="209"/>
      <c r="BD66" s="209">
        <f t="shared" si="28"/>
        <v>1</v>
      </c>
      <c r="BE66" s="209"/>
      <c r="BF66" s="209">
        <v>20</v>
      </c>
      <c r="BG66" s="209"/>
      <c r="BH66" s="209">
        <f t="shared" si="29"/>
        <v>31</v>
      </c>
      <c r="BI66" s="209"/>
      <c r="BJ66" s="209"/>
    </row>
    <row r="67" spans="1:66" ht="12.75" hidden="1" customHeight="1" thickBot="1">
      <c r="AA67" s="6">
        <f>IF(AH4&lt;1980,"NO",IF(U10&lt;&gt;" ",U11,U12))</f>
        <v>12</v>
      </c>
      <c r="AB67" s="6"/>
      <c r="AC67" s="6"/>
      <c r="AD67" s="6" t="s">
        <v>87</v>
      </c>
      <c r="AE67" s="6"/>
      <c r="AF67" s="6"/>
      <c r="AG67" s="6">
        <f>IF(AQ52=1,AG63+10," ")</f>
        <v>18</v>
      </c>
      <c r="AH67" s="6" t="str">
        <f>AH63</f>
        <v>ago</v>
      </c>
      <c r="AI67" s="11">
        <f>AI60</f>
        <v>2024</v>
      </c>
      <c r="AJ67" s="6"/>
      <c r="AK67" s="6"/>
      <c r="AL67" s="6"/>
      <c r="AM67" s="6"/>
      <c r="AN67" s="3">
        <f>SUM(AN60:AN66)</f>
        <v>8</v>
      </c>
      <c r="AP67" s="3">
        <v>8</v>
      </c>
      <c r="AR67" s="231">
        <v>17</v>
      </c>
      <c r="AS67" s="208"/>
      <c r="AT67" s="208"/>
      <c r="AU67" s="209">
        <f t="shared" si="26"/>
        <v>25</v>
      </c>
      <c r="AV67" s="209"/>
      <c r="AW67" s="209">
        <f t="shared" si="30"/>
        <v>5</v>
      </c>
      <c r="AX67" s="209"/>
      <c r="AY67" s="209">
        <v>4</v>
      </c>
      <c r="AZ67" s="209"/>
      <c r="BA67" s="209">
        <f t="shared" si="27"/>
        <v>5</v>
      </c>
      <c r="BB67" s="209" t="str">
        <f t="shared" si="24"/>
        <v>Jueves</v>
      </c>
      <c r="BC67" s="209"/>
      <c r="BD67" s="209">
        <f t="shared" si="28"/>
        <v>3</v>
      </c>
      <c r="BE67" s="209"/>
      <c r="BF67" s="209">
        <v>39</v>
      </c>
      <c r="BG67" s="209"/>
      <c r="BH67" s="209">
        <f t="shared" si="29"/>
        <v>50</v>
      </c>
      <c r="BI67" s="209"/>
      <c r="BJ67" s="209"/>
    </row>
    <row r="68" spans="1:66" ht="12.75" hidden="1" customHeight="1" thickTop="1" thickBot="1">
      <c r="A68" s="282">
        <v>1</v>
      </c>
      <c r="B68" s="282">
        <v>1</v>
      </c>
      <c r="C68" s="286">
        <f>PORTADA!$AG$28</f>
        <v>2024</v>
      </c>
      <c r="D68" s="1005">
        <f>CONCATENATE(A68,"/",B68,"/",C68)+0</f>
        <v>45292</v>
      </c>
      <c r="E68" s="1005"/>
      <c r="F68" s="267" t="s">
        <v>904</v>
      </c>
      <c r="G68" s="266"/>
      <c r="H68" s="266"/>
      <c r="I68" s="266"/>
      <c r="J68" s="266"/>
      <c r="K68" s="266"/>
      <c r="R68" s="209"/>
      <c r="S68" s="209" t="s">
        <v>826</v>
      </c>
      <c r="T68" s="209"/>
      <c r="U68" s="209"/>
      <c r="AA68" s="3">
        <f>IF(AH4&gt;1979,AA67+1,"NO")</f>
        <v>13</v>
      </c>
      <c r="AG68" s="929" t="str">
        <f>CONCATENATE(AG67,AH67,AI67)</f>
        <v>18ago2024</v>
      </c>
      <c r="AH68" s="930"/>
      <c r="AN68" s="3">
        <f>AN67</f>
        <v>8</v>
      </c>
      <c r="AP68" s="3">
        <v>9</v>
      </c>
      <c r="AR68" s="231">
        <v>28</v>
      </c>
      <c r="AS68" s="208"/>
      <c r="AT68" s="208"/>
      <c r="AU68" s="209">
        <f t="shared" si="26"/>
        <v>6</v>
      </c>
      <c r="AV68" s="209"/>
      <c r="AW68" s="209">
        <f t="shared" si="30"/>
        <v>6</v>
      </c>
      <c r="AX68" s="209"/>
      <c r="AY68" s="209">
        <v>7</v>
      </c>
      <c r="AZ68" s="209"/>
      <c r="BA68" s="209">
        <f t="shared" si="27"/>
        <v>1</v>
      </c>
      <c r="BB68" s="209" t="str">
        <f t="shared" si="24"/>
        <v>Domingo</v>
      </c>
      <c r="BC68" s="209"/>
      <c r="BD68" s="209">
        <f t="shared" si="28"/>
        <v>7</v>
      </c>
      <c r="BE68" s="209"/>
      <c r="BF68" s="209">
        <v>28</v>
      </c>
      <c r="BG68" s="209"/>
      <c r="BH68" s="209">
        <f t="shared" si="29"/>
        <v>39</v>
      </c>
      <c r="BI68" s="209"/>
      <c r="BJ68" s="209"/>
      <c r="BK68" s="209"/>
      <c r="BL68" s="209"/>
      <c r="BM68" s="209"/>
      <c r="BN68" s="209"/>
    </row>
    <row r="69" spans="1:66" ht="12.75" hidden="1" customHeight="1" thickTop="1" thickBot="1">
      <c r="A69" s="282">
        <v>6</v>
      </c>
      <c r="B69" s="282">
        <v>1</v>
      </c>
      <c r="C69" s="286">
        <f>PORTADA!$AG$28</f>
        <v>2024</v>
      </c>
      <c r="D69" s="1005">
        <f>CONCATENATE(A69,"/",B69,"/",C69)+0</f>
        <v>45297</v>
      </c>
      <c r="E69" s="1005"/>
      <c r="F69" s="267" t="s">
        <v>377</v>
      </c>
      <c r="G69" s="266"/>
      <c r="H69" s="266"/>
      <c r="I69" s="266"/>
      <c r="J69" s="266"/>
      <c r="K69" s="266"/>
      <c r="R69" s="209"/>
      <c r="S69" s="209" t="s">
        <v>827</v>
      </c>
      <c r="T69" s="209"/>
      <c r="U69" s="209"/>
      <c r="AG69" s="733">
        <f>AG67</f>
        <v>18</v>
      </c>
      <c r="AH69" s="733"/>
      <c r="AP69" s="3">
        <v>10</v>
      </c>
      <c r="AR69" s="231">
        <v>9</v>
      </c>
      <c r="AS69" s="208"/>
      <c r="AT69" s="208"/>
      <c r="AU69" s="209">
        <f t="shared" si="26"/>
        <v>17</v>
      </c>
      <c r="AV69" s="209"/>
      <c r="AW69" s="209">
        <f t="shared" si="30"/>
        <v>7</v>
      </c>
      <c r="AX69" s="209"/>
      <c r="AY69" s="209">
        <v>3</v>
      </c>
      <c r="AZ69" s="209"/>
      <c r="BA69" s="209">
        <f t="shared" si="27"/>
        <v>4</v>
      </c>
      <c r="BB69" s="209" t="str">
        <f t="shared" si="24"/>
        <v>Miércoles</v>
      </c>
      <c r="BC69" s="209"/>
      <c r="BD69" s="209">
        <f t="shared" si="28"/>
        <v>4</v>
      </c>
      <c r="BE69" s="209"/>
      <c r="BF69" s="209">
        <v>17</v>
      </c>
      <c r="BG69" s="209"/>
      <c r="BH69" s="209">
        <f t="shared" si="29"/>
        <v>28</v>
      </c>
      <c r="BI69" s="209"/>
      <c r="BJ69" s="209"/>
      <c r="BK69" s="209"/>
      <c r="BL69" s="209"/>
      <c r="BM69" s="209"/>
      <c r="BN69" s="209"/>
    </row>
    <row r="70" spans="1:66" ht="12.75" hidden="1" customHeight="1" thickTop="1" thickBot="1">
      <c r="A70" s="282">
        <f>DAY(D70)</f>
        <v>29</v>
      </c>
      <c r="B70" s="282">
        <f>MONTH(D70)</f>
        <v>3</v>
      </c>
      <c r="C70" s="286">
        <f>PORTADA!$AG$28</f>
        <v>2024</v>
      </c>
      <c r="D70" s="1005">
        <f>$F$141</f>
        <v>45380</v>
      </c>
      <c r="E70" s="1005"/>
      <c r="F70" s="267" t="s">
        <v>387</v>
      </c>
      <c r="G70" s="266"/>
      <c r="H70" s="266"/>
      <c r="I70" s="266"/>
      <c r="J70" s="266"/>
      <c r="K70" s="266"/>
      <c r="R70" s="209"/>
      <c r="S70" s="209" t="s">
        <v>828</v>
      </c>
      <c r="T70" s="209"/>
      <c r="U70" s="209"/>
      <c r="X70" s="260"/>
      <c r="Y70" s="260"/>
      <c r="Z70" s="457"/>
      <c r="AA70" s="260"/>
      <c r="AB70" s="260"/>
      <c r="AC70" s="260"/>
      <c r="AF70" s="255"/>
      <c r="AG70" s="255"/>
      <c r="AH70" s="255"/>
      <c r="AI70" s="255" t="s">
        <v>876</v>
      </c>
      <c r="AJ70" s="255"/>
      <c r="AK70" s="255"/>
      <c r="AL70" s="255"/>
      <c r="AM70" s="255"/>
      <c r="AP70" s="3">
        <v>11</v>
      </c>
      <c r="AR70" s="231">
        <v>20</v>
      </c>
      <c r="AS70" s="208"/>
      <c r="AT70" s="208"/>
      <c r="AU70" s="209">
        <f t="shared" si="26"/>
        <v>28</v>
      </c>
      <c r="AV70" s="209"/>
      <c r="AW70" s="209">
        <f t="shared" si="30"/>
        <v>8</v>
      </c>
      <c r="AX70" s="209"/>
      <c r="AY70" s="209">
        <v>1</v>
      </c>
      <c r="AZ70" s="209"/>
      <c r="BA70" s="209">
        <f t="shared" si="27"/>
        <v>2</v>
      </c>
      <c r="BB70" s="209" t="str">
        <f t="shared" si="24"/>
        <v>Lunes</v>
      </c>
      <c r="BC70" s="209"/>
      <c r="BD70" s="209">
        <f t="shared" si="28"/>
        <v>6</v>
      </c>
      <c r="BE70" s="209"/>
      <c r="BF70" s="209">
        <v>36</v>
      </c>
      <c r="BG70" s="209"/>
      <c r="BH70" s="209">
        <f t="shared" si="29"/>
        <v>47</v>
      </c>
      <c r="BI70" s="209"/>
      <c r="BJ70" s="209" t="s">
        <v>832</v>
      </c>
      <c r="BK70" s="209">
        <f>MOD((11*(AW87-1)),30)</f>
        <v>20</v>
      </c>
      <c r="BL70" s="209"/>
      <c r="BM70" s="209"/>
      <c r="BN70" s="209"/>
    </row>
    <row r="71" spans="1:66" ht="12.75" hidden="1" customHeight="1" thickTop="1" thickBot="1">
      <c r="A71" s="282">
        <v>1</v>
      </c>
      <c r="B71" s="282">
        <v>5</v>
      </c>
      <c r="C71" s="286">
        <f>PORTADA!$AG$28</f>
        <v>2024</v>
      </c>
      <c r="D71" s="1005">
        <f t="shared" ref="D71:D78" si="31">CONCATENATE(A71,"/",B71,"/",C71)+0</f>
        <v>45413</v>
      </c>
      <c r="E71" s="1005"/>
      <c r="F71" s="267" t="s">
        <v>391</v>
      </c>
      <c r="G71" s="265"/>
      <c r="H71" s="277"/>
      <c r="I71" s="277"/>
      <c r="J71" s="277"/>
      <c r="K71" s="277"/>
      <c r="R71" s="209"/>
      <c r="S71" s="209" t="s">
        <v>829</v>
      </c>
      <c r="T71" s="209"/>
      <c r="U71" s="209"/>
      <c r="X71" s="253"/>
      <c r="AG71" s="256" t="s">
        <v>877</v>
      </c>
      <c r="AH71" s="3">
        <f>IF(AB18&lt;&gt;0,AB18-1,6)</f>
        <v>6</v>
      </c>
      <c r="AI71" s="920" t="str">
        <f>VLOOKUP(AH71,$AL$20:$AM$27,2)</f>
        <v>Sábado</v>
      </c>
      <c r="AJ71" s="920"/>
      <c r="AK71" s="3">
        <f>IF(AH71&gt;3,AH71,30-AH71)</f>
        <v>6</v>
      </c>
      <c r="AL71" s="921">
        <f>VLOOKUP(AH71,AH73:AI79,2)</f>
        <v>45627</v>
      </c>
      <c r="AM71" s="922"/>
      <c r="AP71" s="3">
        <v>12</v>
      </c>
      <c r="AR71" s="231">
        <v>1</v>
      </c>
      <c r="AS71" s="208"/>
      <c r="AT71" s="208"/>
      <c r="AU71" s="209">
        <f t="shared" si="26"/>
        <v>9</v>
      </c>
      <c r="AV71" s="209"/>
      <c r="AW71" s="209">
        <f t="shared" si="30"/>
        <v>9</v>
      </c>
      <c r="AX71" s="209"/>
      <c r="AY71" s="209">
        <v>4</v>
      </c>
      <c r="AZ71" s="209"/>
      <c r="BA71" s="209">
        <f t="shared" si="27"/>
        <v>5</v>
      </c>
      <c r="BB71" s="209" t="str">
        <f t="shared" si="24"/>
        <v>Jueves</v>
      </c>
      <c r="BC71" s="209"/>
      <c r="BD71" s="209">
        <f t="shared" si="28"/>
        <v>3</v>
      </c>
      <c r="BE71" s="209"/>
      <c r="BF71" s="209">
        <v>25</v>
      </c>
      <c r="BG71" s="209"/>
      <c r="BH71" s="209">
        <f t="shared" si="29"/>
        <v>36</v>
      </c>
      <c r="BI71" s="209"/>
      <c r="BJ71" s="209" t="s">
        <v>833</v>
      </c>
      <c r="BK71" s="209">
        <f>((INT((AV87/100)+1)))</f>
        <v>21</v>
      </c>
      <c r="BL71" s="209"/>
      <c r="BM71" s="209"/>
      <c r="BN71" s="209"/>
    </row>
    <row r="72" spans="1:66" ht="12.75" hidden="1" customHeight="1" thickTop="1" thickBot="1">
      <c r="A72" s="282">
        <v>15</v>
      </c>
      <c r="B72" s="282">
        <v>8</v>
      </c>
      <c r="C72" s="286">
        <f>PORTADA!$AG$28</f>
        <v>2024</v>
      </c>
      <c r="D72" s="1005">
        <f t="shared" si="31"/>
        <v>45519</v>
      </c>
      <c r="E72" s="1005"/>
      <c r="F72" s="278" t="s">
        <v>911</v>
      </c>
      <c r="G72" s="279"/>
      <c r="H72" s="280"/>
      <c r="I72" s="280"/>
      <c r="J72" s="280"/>
      <c r="K72" s="280"/>
      <c r="R72" s="209"/>
      <c r="S72" s="209" t="s">
        <v>830</v>
      </c>
      <c r="T72" s="209"/>
      <c r="U72" s="209"/>
      <c r="X72" s="253"/>
      <c r="Y72" s="257"/>
      <c r="Z72" s="615"/>
      <c r="AP72" s="3">
        <v>13</v>
      </c>
      <c r="AR72" s="231">
        <v>12</v>
      </c>
      <c r="AS72" s="208"/>
      <c r="AT72" s="208"/>
      <c r="AU72" s="209">
        <f t="shared" si="26"/>
        <v>20</v>
      </c>
      <c r="AV72" s="209"/>
      <c r="AW72" s="209">
        <f t="shared" si="30"/>
        <v>10</v>
      </c>
      <c r="AX72" s="209"/>
      <c r="AY72" s="209">
        <v>7</v>
      </c>
      <c r="AZ72" s="209"/>
      <c r="BA72" s="209">
        <f t="shared" si="27"/>
        <v>1</v>
      </c>
      <c r="BB72" s="209" t="str">
        <f t="shared" si="24"/>
        <v>Domingo</v>
      </c>
      <c r="BC72" s="209"/>
      <c r="BD72" s="209">
        <f t="shared" si="28"/>
        <v>7</v>
      </c>
      <c r="BE72" s="209"/>
      <c r="BF72" s="209">
        <v>14</v>
      </c>
      <c r="BG72" s="209"/>
      <c r="BH72" s="209">
        <f t="shared" si="29"/>
        <v>25</v>
      </c>
      <c r="BI72" s="209"/>
      <c r="BJ72" s="209" t="s">
        <v>834</v>
      </c>
      <c r="BK72" s="209">
        <f>INT((3*BK71)/4)</f>
        <v>15</v>
      </c>
      <c r="BL72" s="209"/>
      <c r="BM72" s="209"/>
      <c r="BN72" s="209"/>
    </row>
    <row r="73" spans="1:66" ht="12.75" hidden="1" customHeight="1" thickTop="1" thickBot="1">
      <c r="A73" s="282">
        <v>12</v>
      </c>
      <c r="B73" s="282">
        <v>10</v>
      </c>
      <c r="C73" s="286">
        <f>PORTADA!$AG$28</f>
        <v>2024</v>
      </c>
      <c r="D73" s="1005">
        <f t="shared" si="31"/>
        <v>45577</v>
      </c>
      <c r="E73" s="1005"/>
      <c r="F73" s="267" t="s">
        <v>556</v>
      </c>
      <c r="G73" s="270"/>
      <c r="H73" s="270"/>
      <c r="I73" s="270"/>
      <c r="J73" s="270"/>
      <c r="K73" s="270"/>
      <c r="L73" s="262"/>
      <c r="R73" s="209"/>
      <c r="S73" s="209" t="s">
        <v>831</v>
      </c>
      <c r="T73" s="209"/>
      <c r="U73" s="209"/>
      <c r="X73" s="253"/>
      <c r="Y73" s="256"/>
      <c r="AH73" s="3">
        <v>0</v>
      </c>
      <c r="AI73" s="1013">
        <f>CONCATENATE("30/11/",C68)+0</f>
        <v>45626</v>
      </c>
      <c r="AJ73" s="930"/>
      <c r="AP73" s="3">
        <v>14</v>
      </c>
      <c r="AR73" s="231">
        <v>23</v>
      </c>
      <c r="AS73" s="208"/>
      <c r="AT73" s="208"/>
      <c r="AU73" s="209">
        <f t="shared" si="26"/>
        <v>1</v>
      </c>
      <c r="AV73" s="209"/>
      <c r="AW73" s="209">
        <f t="shared" si="30"/>
        <v>11</v>
      </c>
      <c r="AX73" s="209"/>
      <c r="AY73" s="209">
        <v>5</v>
      </c>
      <c r="AZ73" s="209"/>
      <c r="BA73" s="209">
        <f t="shared" si="27"/>
        <v>6</v>
      </c>
      <c r="BB73" s="209" t="str">
        <f t="shared" si="24"/>
        <v>Viernes</v>
      </c>
      <c r="BC73" s="209"/>
      <c r="BD73" s="209">
        <f t="shared" si="28"/>
        <v>2</v>
      </c>
      <c r="BE73" s="209"/>
      <c r="BF73" s="209">
        <v>33</v>
      </c>
      <c r="BG73" s="209"/>
      <c r="BH73" s="209">
        <f t="shared" si="29"/>
        <v>44</v>
      </c>
      <c r="BI73" s="209"/>
      <c r="BJ73" s="209" t="s">
        <v>835</v>
      </c>
      <c r="BK73" s="209">
        <f>INT((8*BK71+5)/25)</f>
        <v>6</v>
      </c>
      <c r="BL73" s="209"/>
      <c r="BM73" s="209"/>
      <c r="BN73" s="209"/>
    </row>
    <row r="74" spans="1:66" ht="12.75" hidden="1" customHeight="1" thickTop="1" thickBot="1">
      <c r="A74" s="282">
        <v>1</v>
      </c>
      <c r="B74" s="282">
        <v>11</v>
      </c>
      <c r="C74" s="286">
        <f>PORTADA!$AG$28</f>
        <v>2024</v>
      </c>
      <c r="D74" s="1005">
        <f t="shared" si="31"/>
        <v>45597</v>
      </c>
      <c r="E74" s="1005"/>
      <c r="F74" s="267" t="s">
        <v>899</v>
      </c>
      <c r="G74" s="270"/>
      <c r="H74" s="270"/>
      <c r="I74" s="270"/>
      <c r="J74" s="270"/>
      <c r="K74" s="270"/>
      <c r="L74" s="262"/>
      <c r="X74" s="253"/>
      <c r="Y74" s="2"/>
      <c r="AF74" s="254"/>
      <c r="AH74" s="3">
        <v>1</v>
      </c>
      <c r="AI74" s="1013">
        <f>CONCATENATE("29/11/",C69)+0</f>
        <v>45625</v>
      </c>
      <c r="AJ74" s="930"/>
      <c r="AP74" s="3">
        <v>15</v>
      </c>
      <c r="AR74" s="231">
        <v>4</v>
      </c>
      <c r="AS74" s="208"/>
      <c r="AT74" s="208"/>
      <c r="AU74" s="209">
        <f t="shared" si="26"/>
        <v>12</v>
      </c>
      <c r="AV74" s="209"/>
      <c r="AW74" s="209">
        <f t="shared" si="30"/>
        <v>12</v>
      </c>
      <c r="AX74" s="209"/>
      <c r="AY74" s="209">
        <v>1</v>
      </c>
      <c r="AZ74" s="209"/>
      <c r="BA74" s="209">
        <f t="shared" si="27"/>
        <v>2</v>
      </c>
      <c r="BB74" s="209" t="str">
        <f t="shared" si="24"/>
        <v>Lunes</v>
      </c>
      <c r="BC74" s="209"/>
      <c r="BD74" s="209">
        <f t="shared" si="28"/>
        <v>6</v>
      </c>
      <c r="BE74" s="209"/>
      <c r="BF74" s="209">
        <v>22</v>
      </c>
      <c r="BG74" s="209"/>
      <c r="BH74" s="209">
        <f t="shared" si="29"/>
        <v>33</v>
      </c>
      <c r="BI74" s="209"/>
      <c r="BJ74" s="209" t="s">
        <v>836</v>
      </c>
      <c r="BK74" s="209">
        <f>BK70-BK72+BK73+8</f>
        <v>19</v>
      </c>
      <c r="BL74" s="209"/>
      <c r="BM74" s="209"/>
      <c r="BN74" s="209"/>
    </row>
    <row r="75" spans="1:66" ht="12.75" hidden="1" customHeight="1" thickTop="1" thickBot="1">
      <c r="A75" s="282">
        <v>6</v>
      </c>
      <c r="B75" s="282">
        <v>12</v>
      </c>
      <c r="C75" s="286">
        <f>PORTADA!$AG$28</f>
        <v>2024</v>
      </c>
      <c r="D75" s="1005">
        <f t="shared" si="31"/>
        <v>45632</v>
      </c>
      <c r="E75" s="1005"/>
      <c r="F75" s="271" t="s">
        <v>901</v>
      </c>
      <c r="G75" s="270"/>
      <c r="H75" s="270"/>
      <c r="I75" s="270"/>
      <c r="J75" s="270"/>
      <c r="K75" s="270"/>
      <c r="L75" s="262"/>
      <c r="X75" s="253"/>
      <c r="Y75" s="2"/>
      <c r="AH75" s="3">
        <v>2</v>
      </c>
      <c r="AI75" s="1013">
        <f>CONCATENATE("28/11/",C70)+0</f>
        <v>45624</v>
      </c>
      <c r="AJ75" s="930"/>
      <c r="AP75" s="3">
        <v>16</v>
      </c>
      <c r="AR75" s="231">
        <v>15</v>
      </c>
      <c r="AS75" s="208"/>
      <c r="AT75" s="208"/>
      <c r="AU75" s="209">
        <f t="shared" si="26"/>
        <v>23</v>
      </c>
      <c r="AV75" s="209"/>
      <c r="AW75" s="209">
        <f t="shared" si="30"/>
        <v>13</v>
      </c>
      <c r="AX75" s="209"/>
      <c r="AY75" s="209">
        <v>4</v>
      </c>
      <c r="AZ75" s="209"/>
      <c r="BA75" s="209">
        <f t="shared" si="27"/>
        <v>5</v>
      </c>
      <c r="BB75" s="209" t="str">
        <f t="shared" si="24"/>
        <v>Jueves</v>
      </c>
      <c r="BC75" s="209"/>
      <c r="BD75" s="209">
        <f t="shared" si="28"/>
        <v>3</v>
      </c>
      <c r="BE75" s="209"/>
      <c r="BF75" s="209">
        <v>11</v>
      </c>
      <c r="BG75" s="209"/>
      <c r="BH75" s="209">
        <f t="shared" si="29"/>
        <v>22</v>
      </c>
      <c r="BI75" s="209"/>
      <c r="BJ75" s="209"/>
      <c r="BK75" s="209"/>
      <c r="BL75" s="209"/>
      <c r="BM75" s="209"/>
      <c r="BN75" s="209"/>
    </row>
    <row r="76" spans="1:66" ht="12.75" hidden="1" customHeight="1" thickTop="1" thickBot="1">
      <c r="A76" s="282">
        <v>8</v>
      </c>
      <c r="B76" s="282">
        <v>12</v>
      </c>
      <c r="C76" s="286">
        <f>PORTADA!$AG$28</f>
        <v>2024</v>
      </c>
      <c r="D76" s="1005">
        <f t="shared" si="31"/>
        <v>45634</v>
      </c>
      <c r="E76" s="1005"/>
      <c r="F76" s="271" t="s">
        <v>394</v>
      </c>
      <c r="G76" s="270"/>
      <c r="H76" s="270"/>
      <c r="I76" s="270"/>
      <c r="J76" s="270"/>
      <c r="K76" s="270"/>
      <c r="L76" s="262"/>
      <c r="X76" s="253"/>
      <c r="Y76" s="2"/>
      <c r="AH76" s="3">
        <v>3</v>
      </c>
      <c r="AI76" s="1013">
        <f>CONCATENATE("27/11/",C71)+0</f>
        <v>45623</v>
      </c>
      <c r="AJ76" s="930"/>
      <c r="AP76" s="3">
        <v>17</v>
      </c>
      <c r="AR76" s="231">
        <v>26</v>
      </c>
      <c r="AS76" s="208"/>
      <c r="AT76" s="208"/>
      <c r="AU76" s="209">
        <f t="shared" si="26"/>
        <v>4</v>
      </c>
      <c r="AV76" s="209"/>
      <c r="AW76" s="209">
        <f t="shared" si="30"/>
        <v>14</v>
      </c>
      <c r="AX76" s="209"/>
      <c r="AY76" s="209">
        <v>2</v>
      </c>
      <c r="AZ76" s="209"/>
      <c r="BA76" s="209">
        <f t="shared" si="27"/>
        <v>3</v>
      </c>
      <c r="BB76" s="209" t="str">
        <f t="shared" si="24"/>
        <v>Martes</v>
      </c>
      <c r="BC76" s="209"/>
      <c r="BD76" s="209">
        <f t="shared" si="28"/>
        <v>5</v>
      </c>
      <c r="BE76" s="209"/>
      <c r="BF76" s="209">
        <v>30</v>
      </c>
      <c r="BG76" s="209"/>
      <c r="BH76" s="209">
        <f t="shared" si="29"/>
        <v>41</v>
      </c>
      <c r="BI76" s="209"/>
      <c r="BJ76" s="209"/>
      <c r="BK76" s="209"/>
      <c r="BL76" s="209"/>
      <c r="BM76" s="209"/>
      <c r="BN76" s="209"/>
    </row>
    <row r="77" spans="1:66" ht="12.75" hidden="1" customHeight="1" thickTop="1" thickBot="1">
      <c r="A77" s="282">
        <v>25</v>
      </c>
      <c r="B77" s="282">
        <v>12</v>
      </c>
      <c r="C77" s="286">
        <f>PORTADA!$AG$28</f>
        <v>2024</v>
      </c>
      <c r="D77" s="1005">
        <f t="shared" si="31"/>
        <v>45651</v>
      </c>
      <c r="E77" s="1005"/>
      <c r="F77" s="267" t="s">
        <v>903</v>
      </c>
      <c r="G77" s="270"/>
      <c r="H77" s="270"/>
      <c r="I77" s="270"/>
      <c r="J77" s="270"/>
      <c r="K77" s="270"/>
      <c r="L77" s="262"/>
      <c r="X77" s="253"/>
      <c r="Y77" s="2"/>
      <c r="AH77" s="3">
        <v>4</v>
      </c>
      <c r="AI77" s="1013">
        <f>CONCATENATE("03/12/",C72)+0</f>
        <v>45629</v>
      </c>
      <c r="AJ77" s="930"/>
      <c r="AP77" s="3">
        <v>18</v>
      </c>
      <c r="AR77" s="231">
        <v>7</v>
      </c>
      <c r="AS77" s="208"/>
      <c r="AT77" s="208"/>
      <c r="AU77" s="209">
        <f t="shared" si="26"/>
        <v>15</v>
      </c>
      <c r="AV77" s="209"/>
      <c r="AW77" s="209">
        <f t="shared" si="30"/>
        <v>15</v>
      </c>
      <c r="AX77" s="209"/>
      <c r="AY77" s="209">
        <v>5</v>
      </c>
      <c r="AZ77" s="209"/>
      <c r="BA77" s="209">
        <f t="shared" si="27"/>
        <v>6</v>
      </c>
      <c r="BB77" s="209" t="str">
        <f t="shared" si="24"/>
        <v>Viernes</v>
      </c>
      <c r="BC77" s="209"/>
      <c r="BD77" s="209">
        <f t="shared" si="28"/>
        <v>2</v>
      </c>
      <c r="BE77" s="209"/>
      <c r="BF77" s="209">
        <v>19</v>
      </c>
      <c r="BG77" s="209"/>
      <c r="BH77" s="209">
        <f t="shared" si="29"/>
        <v>30</v>
      </c>
      <c r="BI77" s="209"/>
      <c r="BJ77" s="209"/>
      <c r="BK77" s="209"/>
      <c r="BL77" s="209"/>
      <c r="BM77" s="209"/>
      <c r="BN77" s="209"/>
    </row>
    <row r="78" spans="1:66" ht="12.75" hidden="1" customHeight="1" thickTop="1" thickBot="1">
      <c r="A78" s="282">
        <v>9</v>
      </c>
      <c r="B78" s="282">
        <v>10</v>
      </c>
      <c r="C78" s="286">
        <f>PORTADA!$AG$28</f>
        <v>2024</v>
      </c>
      <c r="D78" s="1006">
        <f t="shared" si="31"/>
        <v>45574</v>
      </c>
      <c r="E78" s="1006"/>
      <c r="F78" s="272" t="s">
        <v>898</v>
      </c>
      <c r="G78" s="273"/>
      <c r="H78" s="273"/>
      <c r="I78" s="273"/>
      <c r="J78" s="273"/>
      <c r="K78" s="273"/>
      <c r="L78" s="262"/>
      <c r="X78" s="253"/>
      <c r="Y78" s="2"/>
      <c r="AH78" s="3">
        <v>5</v>
      </c>
      <c r="AI78" s="1013">
        <f>CONCATENATE("02/12/",C73)+0</f>
        <v>45628</v>
      </c>
      <c r="AJ78" s="930"/>
      <c r="AP78" s="3">
        <v>19</v>
      </c>
      <c r="AR78" s="231">
        <v>18</v>
      </c>
      <c r="AS78" s="208"/>
      <c r="AT78" s="208"/>
      <c r="AU78" s="209">
        <f t="shared" si="26"/>
        <v>26</v>
      </c>
      <c r="AV78" s="209"/>
      <c r="AW78" s="209">
        <f t="shared" si="30"/>
        <v>16</v>
      </c>
      <c r="AX78" s="209"/>
      <c r="AY78" s="209">
        <v>3</v>
      </c>
      <c r="AZ78" s="209"/>
      <c r="BA78" s="209">
        <f t="shared" si="27"/>
        <v>4</v>
      </c>
      <c r="BB78" s="209" t="str">
        <f t="shared" si="24"/>
        <v>Miércoles</v>
      </c>
      <c r="BC78" s="209"/>
      <c r="BD78" s="209">
        <f t="shared" si="28"/>
        <v>4</v>
      </c>
      <c r="BE78" s="209"/>
      <c r="BF78" s="209">
        <v>38</v>
      </c>
      <c r="BG78" s="209"/>
      <c r="BH78" s="209">
        <f t="shared" si="29"/>
        <v>49</v>
      </c>
      <c r="BI78" s="209"/>
      <c r="BJ78" s="209"/>
      <c r="BK78" s="209"/>
      <c r="BL78" s="209"/>
      <c r="BM78" s="209"/>
      <c r="BN78" s="209"/>
    </row>
    <row r="79" spans="1:66" ht="12.75" hidden="1" customHeight="1" thickTop="1" thickBot="1">
      <c r="A79" s="282">
        <v>7</v>
      </c>
      <c r="B79" s="282">
        <v>12</v>
      </c>
      <c r="C79" s="286">
        <f>PORTADA!$AG$28</f>
        <v>2024</v>
      </c>
      <c r="D79" s="1006">
        <f>CONCATENATE(A79,"/",B79,"/",C79)+0</f>
        <v>45633</v>
      </c>
      <c r="E79" s="1006"/>
      <c r="F79" s="272" t="s">
        <v>902</v>
      </c>
      <c r="G79" s="273"/>
      <c r="H79" s="273"/>
      <c r="I79" s="273"/>
      <c r="J79" s="273"/>
      <c r="K79" s="273"/>
      <c r="L79" s="262"/>
      <c r="X79" s="253"/>
      <c r="Y79" s="2"/>
      <c r="AH79" s="3">
        <v>6</v>
      </c>
      <c r="AI79" s="1013">
        <f>CONCATENATE("01/12/",C74)+0</f>
        <v>45627</v>
      </c>
      <c r="AJ79" s="930"/>
      <c r="AR79" s="208"/>
      <c r="AS79" s="208"/>
      <c r="AT79" s="208"/>
      <c r="AU79" s="209"/>
      <c r="AV79" s="209"/>
      <c r="AW79" s="209"/>
      <c r="AX79" s="209"/>
      <c r="AY79" s="209"/>
      <c r="AZ79" s="209"/>
      <c r="BA79" s="209"/>
      <c r="BB79" s="209"/>
      <c r="BC79" s="209"/>
      <c r="BD79" s="209"/>
      <c r="BE79" s="209"/>
      <c r="BF79" s="209"/>
      <c r="BG79" s="209"/>
      <c r="BH79" s="209"/>
      <c r="BI79" s="209"/>
      <c r="BJ79" s="209"/>
      <c r="BK79" s="209"/>
      <c r="BL79" s="209"/>
      <c r="BM79" s="209"/>
      <c r="BN79" s="209"/>
    </row>
    <row r="80" spans="1:66" ht="12.75" hidden="1" customHeight="1" thickTop="1" thickBot="1">
      <c r="A80" s="282">
        <v>19</v>
      </c>
      <c r="B80" s="282">
        <v>3</v>
      </c>
      <c r="C80" s="286">
        <f>PORTADA!$AG$28</f>
        <v>2024</v>
      </c>
      <c r="D80" s="1007">
        <f>CONCATENATE(A80,"/",B80,"/",C80)+0</f>
        <v>45370</v>
      </c>
      <c r="E80" s="1007"/>
      <c r="F80" s="283" t="s">
        <v>385</v>
      </c>
      <c r="G80" s="284"/>
      <c r="H80" s="284"/>
      <c r="I80" s="284"/>
      <c r="J80" s="284"/>
      <c r="K80" s="284"/>
      <c r="L80" s="262"/>
      <c r="AP80" s="3" t="s">
        <v>814</v>
      </c>
      <c r="AR80" s="208"/>
      <c r="AS80" s="208"/>
      <c r="AT80" s="208"/>
      <c r="AU80" s="209"/>
      <c r="AV80" s="209"/>
      <c r="AW80" s="209"/>
      <c r="AX80" s="209"/>
      <c r="AY80" s="209">
        <f>VLOOKUP(AW87,AP60:AY78,10,FALSE)</f>
        <v>1</v>
      </c>
      <c r="AZ80" s="209"/>
      <c r="BA80" s="209"/>
      <c r="BB80" s="209"/>
      <c r="BC80" s="209"/>
      <c r="BD80" s="209"/>
      <c r="BE80" s="209"/>
      <c r="BF80" s="209"/>
      <c r="BG80" s="209"/>
      <c r="BH80" s="209"/>
      <c r="BI80" s="209"/>
      <c r="BJ80" s="209"/>
      <c r="BK80" s="209"/>
      <c r="BL80" s="209"/>
      <c r="BM80" s="209"/>
      <c r="BN80" s="209"/>
    </row>
    <row r="81" spans="1:66" ht="12.75" hidden="1" customHeight="1" thickTop="1" thickBot="1">
      <c r="A81" s="282">
        <f>DAY(D81)</f>
        <v>28</v>
      </c>
      <c r="B81" s="282">
        <f>MONTH(D81)</f>
        <v>3</v>
      </c>
      <c r="C81" s="286">
        <f>PORTADA!$AG$28</f>
        <v>2024</v>
      </c>
      <c r="D81" s="1006">
        <f>D70-1</f>
        <v>45379</v>
      </c>
      <c r="E81" s="1006"/>
      <c r="F81" s="268" t="s">
        <v>386</v>
      </c>
      <c r="G81" s="269"/>
      <c r="H81" s="269"/>
      <c r="I81" s="269"/>
      <c r="J81" s="269"/>
      <c r="K81" s="269"/>
      <c r="L81" s="285" t="s">
        <v>906</v>
      </c>
      <c r="M81" s="602"/>
      <c r="N81" s="323"/>
      <c r="O81" s="596"/>
      <c r="P81" s="248"/>
      <c r="AP81" s="3">
        <f>VLOOKUP($AP$58,$AP$60:$AU$78,6)</f>
        <v>28</v>
      </c>
      <c r="AR81" s="208"/>
      <c r="AS81" s="208"/>
      <c r="AT81" s="208"/>
      <c r="AU81" s="209" t="s">
        <v>812</v>
      </c>
      <c r="AV81" s="209"/>
      <c r="AW81" s="209"/>
      <c r="AX81" s="209"/>
      <c r="AY81" s="209" t="s">
        <v>820</v>
      </c>
      <c r="AZ81" s="209"/>
      <c r="BA81" s="209"/>
      <c r="BB81" s="209"/>
      <c r="BC81" s="209"/>
      <c r="BD81" s="209"/>
      <c r="BE81" s="209"/>
      <c r="BF81" s="209"/>
      <c r="BG81" s="209"/>
      <c r="BH81" s="209"/>
      <c r="BI81" s="209"/>
      <c r="BJ81" s="209"/>
      <c r="BK81" s="209"/>
      <c r="BL81" s="209"/>
      <c r="BM81" s="209"/>
      <c r="BN81" s="209"/>
    </row>
    <row r="82" spans="1:66" ht="12.75" hidden="1" customHeight="1" thickTop="1" thickBot="1">
      <c r="A82" s="282">
        <f>DAY(D82)</f>
        <v>1</v>
      </c>
      <c r="B82" s="282">
        <f>MONTH(D82)</f>
        <v>4</v>
      </c>
      <c r="C82" s="286">
        <f>PORTADA!$AG$28</f>
        <v>2024</v>
      </c>
      <c r="D82" s="1006">
        <f>D70+3</f>
        <v>45383</v>
      </c>
      <c r="E82" s="1006"/>
      <c r="F82" s="268" t="s">
        <v>908</v>
      </c>
      <c r="G82" s="269"/>
      <c r="H82" s="269"/>
      <c r="I82" s="269"/>
      <c r="J82" s="269"/>
      <c r="K82" s="269"/>
      <c r="L82" s="285" t="s">
        <v>907</v>
      </c>
      <c r="M82" s="602"/>
      <c r="N82" s="323"/>
      <c r="O82" s="596"/>
      <c r="P82" s="248"/>
      <c r="AR82" s="208"/>
      <c r="AS82" s="208"/>
      <c r="AT82" s="208"/>
      <c r="AU82" s="231">
        <f>$AY$12</f>
        <v>1</v>
      </c>
      <c r="AV82" s="209"/>
      <c r="AW82" s="209"/>
      <c r="AX82" s="209"/>
      <c r="AY82" s="209"/>
      <c r="AZ82" s="209"/>
      <c r="BA82" s="209"/>
      <c r="BB82" s="209"/>
      <c r="BC82" s="209"/>
      <c r="BD82" s="209"/>
      <c r="BE82" s="209"/>
      <c r="BF82" s="209"/>
      <c r="BG82" s="209"/>
      <c r="BH82" s="209"/>
      <c r="BI82" s="209"/>
      <c r="BJ82" s="209"/>
      <c r="BK82" s="209"/>
      <c r="BL82" s="209"/>
      <c r="BM82" s="209"/>
      <c r="BN82" s="209"/>
    </row>
    <row r="83" spans="1:66" ht="12.75" hidden="1" customHeight="1" thickTop="1" thickBot="1">
      <c r="A83" s="282">
        <f>DAY(D83)</f>
        <v>8</v>
      </c>
      <c r="B83" s="282">
        <f>MONTH(D83)</f>
        <v>4</v>
      </c>
      <c r="C83" s="286">
        <f>PORTADA!$AG$28</f>
        <v>2024</v>
      </c>
      <c r="D83" s="1006">
        <f>D82+7</f>
        <v>45390</v>
      </c>
      <c r="E83" s="1006"/>
      <c r="F83" s="268" t="s">
        <v>909</v>
      </c>
      <c r="G83" s="269"/>
      <c r="H83" s="269"/>
      <c r="I83" s="269"/>
      <c r="J83" s="269"/>
      <c r="K83" s="269"/>
      <c r="L83" s="285" t="s">
        <v>0</v>
      </c>
      <c r="M83" s="602"/>
      <c r="N83" s="323"/>
      <c r="O83" s="596"/>
      <c r="P83" s="248"/>
      <c r="AO83" s="210" t="s">
        <v>837</v>
      </c>
      <c r="AR83" s="208"/>
      <c r="AS83" s="208"/>
      <c r="AT83" s="208"/>
      <c r="AU83" s="209"/>
      <c r="AV83" s="209"/>
      <c r="AW83" s="209"/>
      <c r="AX83" s="209"/>
      <c r="AY83" s="209"/>
      <c r="AZ83" s="209"/>
      <c r="BA83" s="209"/>
      <c r="BB83" s="209"/>
      <c r="BC83" s="209"/>
      <c r="BD83" s="209"/>
      <c r="BE83" s="209"/>
      <c r="BF83" s="209"/>
      <c r="BG83" s="209"/>
      <c r="BH83" s="209"/>
      <c r="BI83" s="209"/>
      <c r="BJ83" s="209"/>
      <c r="BK83" s="209"/>
      <c r="BL83" s="209"/>
      <c r="BM83" s="209"/>
      <c r="BN83" s="209"/>
    </row>
    <row r="84" spans="1:66" ht="12.75" hidden="1" customHeight="1" thickTop="1" thickBot="1">
      <c r="A84" s="282">
        <f>DAY(D84)</f>
        <v>4</v>
      </c>
      <c r="B84" s="282">
        <f>MONTH(D84)</f>
        <v>3</v>
      </c>
      <c r="C84" s="286">
        <f>PORTADA!$AG$28</f>
        <v>2024</v>
      </c>
      <c r="D84" s="1004">
        <f>$F$138</f>
        <v>45355</v>
      </c>
      <c r="E84" s="1004"/>
      <c r="F84" s="263" t="s">
        <v>905</v>
      </c>
      <c r="G84" s="264"/>
      <c r="H84" s="276"/>
      <c r="I84" s="276"/>
      <c r="J84" s="276"/>
      <c r="K84" s="276"/>
      <c r="L84" s="262"/>
      <c r="AP84" s="3">
        <f>VLOOKUP($AP$58,$AP$60:$AU$78,3)</f>
        <v>20</v>
      </c>
      <c r="AR84" s="208"/>
      <c r="AS84" s="208"/>
      <c r="AT84" s="208"/>
      <c r="AU84" s="209"/>
      <c r="AV84" s="209"/>
      <c r="AW84" s="209"/>
      <c r="AX84" s="209"/>
      <c r="AY84" s="209"/>
      <c r="AZ84" s="209"/>
      <c r="BA84" s="209"/>
      <c r="BB84" s="209"/>
      <c r="BC84" s="209"/>
      <c r="BD84" s="209"/>
      <c r="BE84" s="209"/>
      <c r="BF84" s="209"/>
      <c r="BG84" s="209"/>
      <c r="BH84" s="209"/>
      <c r="BI84" s="209"/>
      <c r="BJ84" s="209"/>
      <c r="BK84" s="209"/>
      <c r="BL84" s="209"/>
      <c r="BM84" s="209"/>
      <c r="BN84" s="209"/>
    </row>
    <row r="85" spans="1:66" ht="12.75" hidden="1" customHeight="1" thickTop="1" thickBot="1">
      <c r="A85" s="282">
        <f>AI58</f>
        <v>6</v>
      </c>
      <c r="B85" s="282">
        <v>5</v>
      </c>
      <c r="C85" s="286">
        <f>PORTADA!$AG$28</f>
        <v>2024</v>
      </c>
      <c r="D85" s="1004">
        <f>$F$153</f>
        <v>45418</v>
      </c>
      <c r="E85" s="1004"/>
      <c r="F85" s="263" t="s">
        <v>910</v>
      </c>
      <c r="G85" s="264"/>
      <c r="H85" s="264"/>
      <c r="I85" s="264"/>
      <c r="J85" s="264"/>
      <c r="K85" s="264"/>
      <c r="AV85" s="236"/>
      <c r="AW85" s="236" t="s">
        <v>838</v>
      </c>
      <c r="AX85" s="236"/>
      <c r="AY85" s="236" t="s">
        <v>839</v>
      </c>
      <c r="AZ85" s="236" t="s">
        <v>816</v>
      </c>
      <c r="BA85" s="236" t="s">
        <v>840</v>
      </c>
      <c r="BB85" s="236" t="s">
        <v>841</v>
      </c>
      <c r="BC85" s="236" t="s">
        <v>842</v>
      </c>
      <c r="BD85" s="236" t="s">
        <v>843</v>
      </c>
      <c r="BE85" s="237" t="s">
        <v>816</v>
      </c>
      <c r="BF85" s="236" t="s">
        <v>844</v>
      </c>
      <c r="BG85" s="236" t="s">
        <v>845</v>
      </c>
      <c r="BH85" s="236" t="s">
        <v>846</v>
      </c>
      <c r="BI85" s="236" t="s">
        <v>816</v>
      </c>
      <c r="BJ85" s="236" t="s">
        <v>847</v>
      </c>
      <c r="BK85" s="236" t="s">
        <v>737</v>
      </c>
      <c r="BL85" s="236" t="s">
        <v>848</v>
      </c>
      <c r="BM85" s="236" t="s">
        <v>816</v>
      </c>
    </row>
    <row r="86" spans="1:66" ht="12.75" hidden="1" customHeight="1" thickTop="1" thickBot="1">
      <c r="A86" s="282">
        <v>8</v>
      </c>
      <c r="B86" s="282">
        <v>9</v>
      </c>
      <c r="C86" s="286">
        <f>PORTADA!$AG$28</f>
        <v>2024</v>
      </c>
      <c r="D86" s="1004">
        <f t="shared" ref="D86:D92" si="32">CONCATENATE(A86,"/",B86,"/",C86)+0</f>
        <v>45543</v>
      </c>
      <c r="E86" s="1004"/>
      <c r="F86" s="275" t="s">
        <v>897</v>
      </c>
      <c r="G86" s="274"/>
      <c r="H86" s="274"/>
      <c r="I86" s="274"/>
      <c r="J86" s="274"/>
      <c r="K86" s="274"/>
      <c r="L86" s="260"/>
      <c r="AV86" s="236" t="s">
        <v>109</v>
      </c>
      <c r="AW86" s="236" t="s">
        <v>849</v>
      </c>
      <c r="AX86" s="236" t="s">
        <v>269</v>
      </c>
      <c r="AY86" s="236" t="s">
        <v>850</v>
      </c>
      <c r="AZ86" s="236" t="s">
        <v>851</v>
      </c>
      <c r="BA86" s="236" t="s">
        <v>852</v>
      </c>
      <c r="BB86" s="236" t="s">
        <v>853</v>
      </c>
      <c r="BC86" s="236" t="s">
        <v>854</v>
      </c>
      <c r="BD86" s="236" t="s">
        <v>854</v>
      </c>
      <c r="BE86" s="237" t="s">
        <v>0</v>
      </c>
      <c r="BF86" s="236" t="s">
        <v>0</v>
      </c>
      <c r="BG86" s="236" t="s">
        <v>855</v>
      </c>
      <c r="BH86" s="236"/>
      <c r="BI86" s="236" t="s">
        <v>96</v>
      </c>
      <c r="BJ86" s="236" t="s">
        <v>856</v>
      </c>
      <c r="BK86" s="236" t="s">
        <v>857</v>
      </c>
      <c r="BL86" s="236" t="s">
        <v>858</v>
      </c>
      <c r="BM86" s="236" t="s">
        <v>859</v>
      </c>
    </row>
    <row r="87" spans="1:66" ht="12.75" hidden="1" customHeight="1" thickTop="1" thickBot="1">
      <c r="A87" s="282">
        <v>11</v>
      </c>
      <c r="B87" s="282">
        <v>11</v>
      </c>
      <c r="C87" s="286">
        <f>PORTADA!$AG$28</f>
        <v>2024</v>
      </c>
      <c r="D87" s="1004">
        <f t="shared" si="32"/>
        <v>45607</v>
      </c>
      <c r="E87" s="1004"/>
      <c r="F87" s="263" t="s">
        <v>900</v>
      </c>
      <c r="G87" s="274"/>
      <c r="H87" s="274"/>
      <c r="I87" s="274"/>
      <c r="J87" s="274"/>
      <c r="K87" s="274"/>
      <c r="L87" s="260"/>
      <c r="AV87" s="238">
        <f>luna!$A$62</f>
        <v>2024</v>
      </c>
      <c r="AW87" s="238">
        <f>luna!$A$64</f>
        <v>11</v>
      </c>
      <c r="AX87" s="236">
        <f>IF(AV87&gt;1581,luna!$A$69,luna!$A$83)</f>
        <v>19</v>
      </c>
      <c r="AY87" s="236" t="str">
        <f>luna!$A$74</f>
        <v>GF</v>
      </c>
      <c r="AZ87" s="239">
        <f>BB87-21</f>
        <v>45319</v>
      </c>
      <c r="BA87" s="239">
        <f>$C$53</f>
        <v>45336</v>
      </c>
      <c r="BB87" s="239">
        <f>BA87+4</f>
        <v>45340</v>
      </c>
      <c r="BC87" s="239">
        <f>BD87-1</f>
        <v>45013</v>
      </c>
      <c r="BD87" s="239">
        <f>BE87-2</f>
        <v>45014</v>
      </c>
      <c r="BE87" s="240">
        <f>luna!$A$106</f>
        <v>45016</v>
      </c>
      <c r="BF87" s="239">
        <f>BE87+1</f>
        <v>45017</v>
      </c>
      <c r="BG87" s="239">
        <f>BF87+7</f>
        <v>45024</v>
      </c>
      <c r="BH87" s="239">
        <f>$S$62</f>
        <v>45424</v>
      </c>
      <c r="BI87" s="239">
        <f>BE87+49</f>
        <v>45065</v>
      </c>
      <c r="BJ87" s="239">
        <f>BI87+7</f>
        <v>45072</v>
      </c>
      <c r="BK87" s="396">
        <f>BH87+21</f>
        <v>45445</v>
      </c>
      <c r="BL87" s="396">
        <f>BK87+7</f>
        <v>45452</v>
      </c>
      <c r="BM87" s="239">
        <f>$AL$71</f>
        <v>45627</v>
      </c>
    </row>
    <row r="88" spans="1:66" ht="12.75" hidden="1" customHeight="1" thickTop="1" thickBot="1">
      <c r="A88" s="282">
        <v>1</v>
      </c>
      <c r="B88" s="282">
        <v>1</v>
      </c>
      <c r="C88" s="286">
        <f>PORTADA!$AG$28</f>
        <v>2024</v>
      </c>
      <c r="D88" s="1004">
        <f t="shared" si="32"/>
        <v>45292</v>
      </c>
      <c r="E88" s="1004"/>
      <c r="F88" s="281" t="s">
        <v>912</v>
      </c>
      <c r="G88" s="281"/>
      <c r="H88" s="281"/>
      <c r="I88" s="281"/>
      <c r="J88" s="281"/>
      <c r="K88" s="281"/>
      <c r="L88" s="260"/>
    </row>
    <row r="89" spans="1:66" ht="12.75" hidden="1" customHeight="1" thickTop="1" thickBot="1">
      <c r="A89" s="282">
        <v>1</v>
      </c>
      <c r="B89" s="282">
        <v>1</v>
      </c>
      <c r="C89" s="286">
        <f>PORTADA!$AG$28</f>
        <v>2024</v>
      </c>
      <c r="D89" s="1004">
        <f t="shared" si="32"/>
        <v>45292</v>
      </c>
      <c r="E89" s="1004"/>
      <c r="F89" s="281" t="s">
        <v>912</v>
      </c>
      <c r="G89" s="281"/>
      <c r="H89" s="281"/>
      <c r="I89" s="281"/>
      <c r="J89" s="281"/>
      <c r="K89" s="281"/>
      <c r="L89" s="260"/>
    </row>
    <row r="90" spans="1:66" ht="12.75" hidden="1" customHeight="1" thickTop="1" thickBot="1">
      <c r="A90" s="282">
        <v>1</v>
      </c>
      <c r="B90" s="282">
        <v>1</v>
      </c>
      <c r="C90" s="286">
        <f>PORTADA!$AG$28</f>
        <v>2024</v>
      </c>
      <c r="D90" s="1004">
        <f t="shared" si="32"/>
        <v>45292</v>
      </c>
      <c r="E90" s="1004"/>
      <c r="F90" s="281" t="s">
        <v>912</v>
      </c>
      <c r="G90" s="281"/>
      <c r="H90" s="281"/>
      <c r="I90" s="281"/>
      <c r="J90" s="281"/>
      <c r="K90" s="281"/>
      <c r="L90" s="260"/>
    </row>
    <row r="91" spans="1:66" ht="12.75" hidden="1" customHeight="1" thickTop="1" thickBot="1">
      <c r="A91" s="282">
        <v>1</v>
      </c>
      <c r="B91" s="282">
        <v>1</v>
      </c>
      <c r="C91" s="286">
        <f>PORTADA!$AG$28</f>
        <v>2024</v>
      </c>
      <c r="D91" s="1004">
        <f t="shared" si="32"/>
        <v>45292</v>
      </c>
      <c r="E91" s="1004"/>
      <c r="F91" s="281" t="s">
        <v>912</v>
      </c>
      <c r="G91" s="281"/>
      <c r="H91" s="281"/>
      <c r="I91" s="281"/>
      <c r="J91" s="281"/>
      <c r="K91" s="281"/>
      <c r="L91" s="262"/>
    </row>
    <row r="92" spans="1:66" ht="12.75" hidden="1" customHeight="1" thickTop="1" thickBot="1">
      <c r="A92" s="282">
        <v>1</v>
      </c>
      <c r="B92" s="282">
        <v>1</v>
      </c>
      <c r="C92" s="286">
        <f>PORTADA!$AG$28</f>
        <v>2024</v>
      </c>
      <c r="D92" s="1004">
        <f t="shared" si="32"/>
        <v>45292</v>
      </c>
      <c r="E92" s="1004"/>
      <c r="F92" s="281" t="s">
        <v>912</v>
      </c>
      <c r="G92" s="281"/>
      <c r="H92" s="281"/>
      <c r="I92" s="281"/>
      <c r="J92" s="281"/>
      <c r="K92" s="281"/>
      <c r="L92" s="262"/>
    </row>
    <row r="93" spans="1:66" ht="12.75" hidden="1" customHeight="1" thickTop="1">
      <c r="L93" s="262"/>
    </row>
    <row r="94" spans="1:66" ht="12.75" hidden="1" customHeight="1" thickBot="1">
      <c r="A94" s="321"/>
      <c r="B94" s="685"/>
      <c r="C94" s="287"/>
      <c r="D94" s="287"/>
      <c r="E94" s="1029" t="s">
        <v>913</v>
      </c>
      <c r="F94" s="1030"/>
      <c r="G94" s="1030"/>
      <c r="H94" s="1030"/>
      <c r="I94" s="1030"/>
      <c r="J94" s="304"/>
      <c r="K94" s="290"/>
      <c r="L94" s="290"/>
      <c r="M94" s="603"/>
    </row>
    <row r="95" spans="1:66" ht="12.75" hidden="1" customHeight="1" thickTop="1" thickBot="1">
      <c r="A95" s="321"/>
      <c r="B95" s="303" t="s">
        <v>914</v>
      </c>
      <c r="C95" s="287"/>
      <c r="D95" s="287"/>
      <c r="E95" s="287"/>
      <c r="F95" s="299" t="s">
        <v>247</v>
      </c>
      <c r="G95" s="300" t="s">
        <v>3</v>
      </c>
      <c r="H95" s="300" t="s">
        <v>109</v>
      </c>
      <c r="I95" s="290"/>
      <c r="J95" s="290"/>
      <c r="K95" s="1038">
        <f>CONCATENATE(F96,"/",G96,"/",H96)+0</f>
        <v>45545</v>
      </c>
      <c r="L95" s="1039"/>
      <c r="M95" s="1040"/>
    </row>
    <row r="96" spans="1:66" ht="12.75" hidden="1" customHeight="1" thickTop="1" thickBot="1">
      <c r="A96" s="321"/>
      <c r="B96" s="303" t="s">
        <v>915</v>
      </c>
      <c r="C96" s="287"/>
      <c r="D96" s="287"/>
      <c r="E96" s="287"/>
      <c r="F96" s="302">
        <v>10</v>
      </c>
      <c r="G96" s="302">
        <v>9</v>
      </c>
      <c r="H96" s="301">
        <f>$C$68</f>
        <v>2024</v>
      </c>
      <c r="I96" s="290"/>
      <c r="J96" s="290"/>
      <c r="K96" s="290"/>
      <c r="L96" s="290"/>
      <c r="M96" s="603"/>
    </row>
    <row r="97" spans="1:13" ht="12.75" hidden="1" customHeight="1" thickTop="1" thickBot="1">
      <c r="A97" s="321"/>
      <c r="B97" s="303" t="s">
        <v>916</v>
      </c>
      <c r="C97" s="287"/>
      <c r="D97" s="287"/>
      <c r="E97" s="1029" t="s">
        <v>917</v>
      </c>
      <c r="F97" s="1030"/>
      <c r="G97" s="1030"/>
      <c r="H97" s="1030"/>
      <c r="I97" s="1030"/>
      <c r="J97" s="290"/>
      <c r="K97" s="290"/>
      <c r="L97" s="290"/>
      <c r="M97" s="603"/>
    </row>
    <row r="98" spans="1:13" ht="12.75" hidden="1" customHeight="1" thickTop="1" thickBot="1">
      <c r="A98" s="321"/>
      <c r="B98" s="303" t="s">
        <v>918</v>
      </c>
      <c r="C98" s="287"/>
      <c r="D98" s="287"/>
      <c r="E98" s="287"/>
      <c r="F98" s="299" t="s">
        <v>247</v>
      </c>
      <c r="G98" s="300" t="s">
        <v>3</v>
      </c>
      <c r="H98" s="300" t="s">
        <v>109</v>
      </c>
      <c r="I98" s="290"/>
      <c r="J98" s="290"/>
      <c r="K98" s="1038">
        <f>CONCATENATE(F99,"/",G99,"/",H99)+0</f>
        <v>45465</v>
      </c>
      <c r="L98" s="1039"/>
      <c r="M98" s="1040"/>
    </row>
    <row r="99" spans="1:13" ht="12.75" hidden="1" customHeight="1" thickTop="1" thickBot="1">
      <c r="A99" s="321"/>
      <c r="B99" s="685"/>
      <c r="C99" s="287"/>
      <c r="D99" s="287"/>
      <c r="E99" s="287"/>
      <c r="F99" s="302">
        <v>22</v>
      </c>
      <c r="G99" s="302">
        <v>6</v>
      </c>
      <c r="H99" s="301">
        <f>$C$68</f>
        <v>2024</v>
      </c>
      <c r="I99" s="290"/>
      <c r="J99" s="290"/>
      <c r="K99" s="290"/>
      <c r="L99" s="290"/>
      <c r="M99" s="603"/>
    </row>
    <row r="100" spans="1:13" ht="12.75" hidden="1" customHeight="1" thickTop="1">
      <c r="A100" s="293" t="s">
        <v>868</v>
      </c>
      <c r="B100" s="686"/>
      <c r="C100" s="291"/>
      <c r="D100" s="291"/>
      <c r="E100" s="291"/>
      <c r="F100" s="291"/>
      <c r="G100" s="291"/>
      <c r="H100" s="291"/>
      <c r="I100" s="291"/>
      <c r="J100" s="291"/>
      <c r="K100" s="291"/>
      <c r="L100" s="291"/>
      <c r="M100" s="604"/>
    </row>
    <row r="101" spans="1:13" ht="12.75" hidden="1" customHeight="1">
      <c r="A101" s="1010">
        <f>IF(E101&gt;0,F101,F$101)</f>
        <v>45536</v>
      </c>
      <c r="B101" s="1011"/>
      <c r="C101" s="1012"/>
      <c r="D101" s="291"/>
      <c r="E101" s="289">
        <f>$K$95-F101</f>
        <v>9</v>
      </c>
      <c r="F101" s="1018">
        <f>CONCATENATE("01/09/",W4)+0</f>
        <v>45536</v>
      </c>
      <c r="G101" s="1018"/>
      <c r="H101" s="314" t="s">
        <v>919</v>
      </c>
      <c r="I101" s="317"/>
      <c r="J101" s="317"/>
      <c r="K101" s="317"/>
      <c r="L101" s="317"/>
      <c r="M101" s="605"/>
    </row>
    <row r="102" spans="1:13" ht="12.75" hidden="1" customHeight="1">
      <c r="A102" s="1010">
        <f t="shared" ref="A102:A115" si="33">IF(E102&gt;0,F102,F$101)</f>
        <v>45537</v>
      </c>
      <c r="B102" s="1011"/>
      <c r="C102" s="1012"/>
      <c r="D102" s="291"/>
      <c r="E102" s="289">
        <f t="shared" ref="E102:E115" si="34">$K$95-F102</f>
        <v>8</v>
      </c>
      <c r="F102" s="1018">
        <f>F101+1</f>
        <v>45537</v>
      </c>
      <c r="G102" s="1028"/>
      <c r="H102" s="314" t="s">
        <v>919</v>
      </c>
      <c r="I102" s="317"/>
      <c r="J102" s="317"/>
      <c r="K102" s="317"/>
      <c r="L102" s="317"/>
      <c r="M102" s="605"/>
    </row>
    <row r="103" spans="1:13" ht="12.75" hidden="1" customHeight="1">
      <c r="A103" s="1010">
        <f t="shared" si="33"/>
        <v>45538</v>
      </c>
      <c r="B103" s="1011"/>
      <c r="C103" s="1012"/>
      <c r="D103" s="291"/>
      <c r="E103" s="289">
        <f t="shared" si="34"/>
        <v>7</v>
      </c>
      <c r="F103" s="1018">
        <f t="shared" ref="F103:F115" si="35">F102+1</f>
        <v>45538</v>
      </c>
      <c r="G103" s="1028"/>
      <c r="H103" s="314" t="s">
        <v>919</v>
      </c>
      <c r="I103" s="317"/>
      <c r="J103" s="317"/>
      <c r="K103" s="317"/>
      <c r="L103" s="317"/>
      <c r="M103" s="605"/>
    </row>
    <row r="104" spans="1:13" ht="12.75" hidden="1" customHeight="1">
      <c r="A104" s="1010">
        <f t="shared" si="33"/>
        <v>45539</v>
      </c>
      <c r="B104" s="1011"/>
      <c r="C104" s="1012"/>
      <c r="D104" s="291"/>
      <c r="E104" s="289">
        <f t="shared" si="34"/>
        <v>6</v>
      </c>
      <c r="F104" s="1018">
        <f t="shared" si="35"/>
        <v>45539</v>
      </c>
      <c r="G104" s="1028"/>
      <c r="H104" s="314" t="s">
        <v>919</v>
      </c>
      <c r="I104" s="317"/>
      <c r="J104" s="317"/>
      <c r="K104" s="317"/>
      <c r="L104" s="317"/>
      <c r="M104" s="605"/>
    </row>
    <row r="105" spans="1:13" ht="12.75" hidden="1" customHeight="1">
      <c r="A105" s="1010">
        <f t="shared" si="33"/>
        <v>45540</v>
      </c>
      <c r="B105" s="1011"/>
      <c r="C105" s="1012"/>
      <c r="D105" s="291"/>
      <c r="E105" s="289">
        <f t="shared" si="34"/>
        <v>5</v>
      </c>
      <c r="F105" s="1018">
        <f t="shared" si="35"/>
        <v>45540</v>
      </c>
      <c r="G105" s="1028"/>
      <c r="H105" s="314" t="s">
        <v>919</v>
      </c>
      <c r="I105" s="317"/>
      <c r="J105" s="317"/>
      <c r="K105" s="317"/>
      <c r="L105" s="317"/>
      <c r="M105" s="605"/>
    </row>
    <row r="106" spans="1:13" ht="12.75" hidden="1" customHeight="1">
      <c r="A106" s="1010">
        <f t="shared" si="33"/>
        <v>45541</v>
      </c>
      <c r="B106" s="1011"/>
      <c r="C106" s="1012"/>
      <c r="D106" s="291"/>
      <c r="E106" s="289">
        <f t="shared" si="34"/>
        <v>4</v>
      </c>
      <c r="F106" s="1018">
        <f t="shared" si="35"/>
        <v>45541</v>
      </c>
      <c r="G106" s="1028"/>
      <c r="H106" s="314" t="s">
        <v>919</v>
      </c>
      <c r="I106" s="317"/>
      <c r="J106" s="317"/>
      <c r="K106" s="317"/>
      <c r="L106" s="317"/>
      <c r="M106" s="605"/>
    </row>
    <row r="107" spans="1:13" ht="12.75" hidden="1" customHeight="1">
      <c r="A107" s="1010">
        <f t="shared" si="33"/>
        <v>45542</v>
      </c>
      <c r="B107" s="1011"/>
      <c r="C107" s="1012"/>
      <c r="D107" s="291"/>
      <c r="E107" s="289">
        <f t="shared" si="34"/>
        <v>3</v>
      </c>
      <c r="F107" s="1018">
        <f t="shared" si="35"/>
        <v>45542</v>
      </c>
      <c r="G107" s="1028"/>
      <c r="H107" s="314" t="s">
        <v>919</v>
      </c>
      <c r="I107" s="317"/>
      <c r="J107" s="317"/>
      <c r="K107" s="317"/>
      <c r="L107" s="317"/>
      <c r="M107" s="605"/>
    </row>
    <row r="108" spans="1:13" ht="12.75" hidden="1" customHeight="1">
      <c r="A108" s="1010">
        <f t="shared" si="33"/>
        <v>45543</v>
      </c>
      <c r="B108" s="1011"/>
      <c r="C108" s="1012"/>
      <c r="D108" s="291"/>
      <c r="E108" s="289">
        <f t="shared" si="34"/>
        <v>2</v>
      </c>
      <c r="F108" s="1017">
        <f t="shared" si="35"/>
        <v>45543</v>
      </c>
      <c r="G108" s="1024"/>
      <c r="H108" s="292" t="s">
        <v>920</v>
      </c>
      <c r="I108" s="294"/>
      <c r="J108" s="294"/>
      <c r="K108" s="294"/>
      <c r="L108" s="294"/>
      <c r="M108" s="296"/>
    </row>
    <row r="109" spans="1:13" ht="12.75" hidden="1" customHeight="1">
      <c r="A109" s="1010">
        <f t="shared" si="33"/>
        <v>45544</v>
      </c>
      <c r="B109" s="1011"/>
      <c r="C109" s="1012"/>
      <c r="D109" s="291"/>
      <c r="E109" s="289">
        <f t="shared" si="34"/>
        <v>1</v>
      </c>
      <c r="F109" s="1026">
        <f t="shared" si="35"/>
        <v>45544</v>
      </c>
      <c r="G109" s="1027"/>
      <c r="H109" s="288" t="s">
        <v>919</v>
      </c>
      <c r="I109" s="291"/>
      <c r="J109" s="291"/>
      <c r="K109" s="291"/>
      <c r="L109" s="291"/>
      <c r="M109" s="604"/>
    </row>
    <row r="110" spans="1:13" ht="12.75" hidden="1" customHeight="1">
      <c r="A110" s="1010">
        <f t="shared" si="33"/>
        <v>45536</v>
      </c>
      <c r="B110" s="1011"/>
      <c r="C110" s="1012"/>
      <c r="D110" s="291"/>
      <c r="E110" s="289">
        <f t="shared" si="34"/>
        <v>0</v>
      </c>
      <c r="F110" s="1026">
        <f t="shared" si="35"/>
        <v>45545</v>
      </c>
      <c r="G110" s="1027"/>
      <c r="H110" s="288" t="s">
        <v>919</v>
      </c>
      <c r="I110" s="291"/>
      <c r="J110" s="291"/>
      <c r="K110" s="291"/>
      <c r="L110" s="291"/>
      <c r="M110" s="604"/>
    </row>
    <row r="111" spans="1:13" ht="12.75" hidden="1" customHeight="1">
      <c r="A111" s="1010">
        <f t="shared" si="33"/>
        <v>45536</v>
      </c>
      <c r="B111" s="1011"/>
      <c r="C111" s="1012"/>
      <c r="D111" s="291"/>
      <c r="E111" s="289">
        <f t="shared" si="34"/>
        <v>-1</v>
      </c>
      <c r="F111" s="1026">
        <f t="shared" si="35"/>
        <v>45546</v>
      </c>
      <c r="G111" s="1027"/>
      <c r="H111" s="288" t="s">
        <v>919</v>
      </c>
      <c r="I111" s="291"/>
      <c r="J111" s="291"/>
      <c r="K111" s="291"/>
      <c r="L111" s="291"/>
      <c r="M111" s="604"/>
    </row>
    <row r="112" spans="1:13" ht="12.75" hidden="1" customHeight="1">
      <c r="A112" s="1010">
        <f t="shared" si="33"/>
        <v>45536</v>
      </c>
      <c r="B112" s="1011"/>
      <c r="C112" s="1012"/>
      <c r="D112" s="291"/>
      <c r="E112" s="289">
        <f t="shared" si="34"/>
        <v>-2</v>
      </c>
      <c r="F112" s="1026">
        <f t="shared" si="35"/>
        <v>45547</v>
      </c>
      <c r="G112" s="1027"/>
      <c r="H112" s="288" t="s">
        <v>919</v>
      </c>
      <c r="I112" s="291"/>
      <c r="J112" s="291"/>
      <c r="K112" s="291"/>
      <c r="L112" s="291"/>
      <c r="M112" s="604"/>
    </row>
    <row r="113" spans="1:13" ht="12.75" hidden="1" customHeight="1">
      <c r="A113" s="1010">
        <f t="shared" si="33"/>
        <v>45536</v>
      </c>
      <c r="B113" s="1011"/>
      <c r="C113" s="1012"/>
      <c r="D113" s="291"/>
      <c r="E113" s="289">
        <f t="shared" si="34"/>
        <v>-3</v>
      </c>
      <c r="F113" s="1026">
        <f t="shared" si="35"/>
        <v>45548</v>
      </c>
      <c r="G113" s="1027"/>
      <c r="H113" s="288" t="s">
        <v>919</v>
      </c>
      <c r="I113" s="291"/>
      <c r="J113" s="291"/>
      <c r="K113" s="291"/>
      <c r="L113" s="291"/>
      <c r="M113" s="604"/>
    </row>
    <row r="114" spans="1:13" ht="12.75" hidden="1" customHeight="1">
      <c r="A114" s="1010">
        <f t="shared" si="33"/>
        <v>45536</v>
      </c>
      <c r="B114" s="1011"/>
      <c r="C114" s="1012"/>
      <c r="D114" s="291"/>
      <c r="E114" s="289">
        <f t="shared" si="34"/>
        <v>-4</v>
      </c>
      <c r="F114" s="1026">
        <f t="shared" si="35"/>
        <v>45549</v>
      </c>
      <c r="G114" s="1027"/>
      <c r="H114" s="288" t="s">
        <v>919</v>
      </c>
      <c r="I114" s="291"/>
      <c r="J114" s="291"/>
      <c r="K114" s="291"/>
      <c r="L114" s="291"/>
      <c r="M114" s="604"/>
    </row>
    <row r="115" spans="1:13" ht="12.75" hidden="1" customHeight="1">
      <c r="A115" s="1010">
        <f t="shared" si="33"/>
        <v>45536</v>
      </c>
      <c r="B115" s="1011"/>
      <c r="C115" s="1012"/>
      <c r="D115" s="291"/>
      <c r="E115" s="289">
        <f t="shared" si="34"/>
        <v>-5</v>
      </c>
      <c r="F115" s="1026">
        <f t="shared" si="35"/>
        <v>45550</v>
      </c>
      <c r="G115" s="1027"/>
      <c r="H115" s="288" t="s">
        <v>919</v>
      </c>
      <c r="I115" s="291"/>
      <c r="J115" s="291"/>
      <c r="K115" s="291"/>
      <c r="L115" s="291"/>
      <c r="M115" s="604"/>
    </row>
    <row r="116" spans="1:13" ht="12.75" hidden="1" customHeight="1">
      <c r="A116" s="1010">
        <f>F116</f>
        <v>45574</v>
      </c>
      <c r="B116" s="1011"/>
      <c r="C116" s="1012"/>
      <c r="D116" s="291"/>
      <c r="E116" s="291"/>
      <c r="F116" s="1022">
        <f>F109+30</f>
        <v>45574</v>
      </c>
      <c r="G116" s="1022"/>
      <c r="H116" s="305" t="s">
        <v>71</v>
      </c>
      <c r="I116" s="306"/>
      <c r="J116" s="306"/>
      <c r="K116" s="306"/>
      <c r="L116" s="306"/>
      <c r="M116" s="606"/>
    </row>
    <row r="117" spans="1:13" ht="12.75" hidden="1" customHeight="1">
      <c r="A117" s="1010">
        <f t="shared" ref="A117:A153" si="36">F117</f>
        <v>45577</v>
      </c>
      <c r="B117" s="1011"/>
      <c r="C117" s="1012"/>
      <c r="D117" s="291"/>
      <c r="E117" s="291"/>
      <c r="F117" s="1009">
        <f>F116+3</f>
        <v>45577</v>
      </c>
      <c r="G117" s="1009"/>
      <c r="H117" s="297" t="s">
        <v>556</v>
      </c>
      <c r="I117" s="298"/>
      <c r="J117" s="298"/>
      <c r="K117" s="298"/>
      <c r="L117" s="298"/>
      <c r="M117" s="607"/>
    </row>
    <row r="118" spans="1:13" ht="12.75" hidden="1" customHeight="1">
      <c r="A118" s="1010">
        <f t="shared" si="36"/>
        <v>45597</v>
      </c>
      <c r="B118" s="1011"/>
      <c r="C118" s="1012"/>
      <c r="D118" s="291"/>
      <c r="E118" s="291"/>
      <c r="F118" s="1009">
        <f>F117+20</f>
        <v>45597</v>
      </c>
      <c r="G118" s="1009"/>
      <c r="H118" s="297" t="s">
        <v>921</v>
      </c>
      <c r="I118" s="298"/>
      <c r="J118" s="298"/>
      <c r="K118" s="298"/>
      <c r="L118" s="298"/>
      <c r="M118" s="607"/>
    </row>
    <row r="119" spans="1:13" ht="12.75" hidden="1" customHeight="1">
      <c r="A119" s="1010">
        <f t="shared" si="36"/>
        <v>45607</v>
      </c>
      <c r="B119" s="1011"/>
      <c r="C119" s="1012"/>
      <c r="D119" s="291"/>
      <c r="E119" s="291"/>
      <c r="F119" s="1017">
        <f>F118+10</f>
        <v>45607</v>
      </c>
      <c r="G119" s="1017"/>
      <c r="H119" s="292" t="s">
        <v>900</v>
      </c>
      <c r="I119" s="294"/>
      <c r="J119" s="294"/>
      <c r="K119" s="294"/>
      <c r="L119" s="294"/>
      <c r="M119" s="296"/>
    </row>
    <row r="120" spans="1:13" ht="12.75" hidden="1" customHeight="1">
      <c r="A120" s="1010">
        <f t="shared" si="36"/>
        <v>45632</v>
      </c>
      <c r="B120" s="1011"/>
      <c r="C120" s="1012"/>
      <c r="D120" s="291"/>
      <c r="E120" s="291"/>
      <c r="F120" s="1009">
        <f>F119+25</f>
        <v>45632</v>
      </c>
      <c r="G120" s="1009"/>
      <c r="H120" s="297" t="s">
        <v>922</v>
      </c>
      <c r="I120" s="298"/>
      <c r="J120" s="298"/>
      <c r="K120" s="298"/>
      <c r="L120" s="298"/>
      <c r="M120" s="607"/>
    </row>
    <row r="121" spans="1:13" ht="12.75" hidden="1" customHeight="1">
      <c r="A121" s="1010">
        <f t="shared" si="36"/>
        <v>45633</v>
      </c>
      <c r="B121" s="1011"/>
      <c r="C121" s="1012"/>
      <c r="D121" s="291"/>
      <c r="E121" s="291"/>
      <c r="F121" s="1022">
        <f>F120+1</f>
        <v>45633</v>
      </c>
      <c r="G121" s="1022"/>
      <c r="H121" s="305" t="s">
        <v>923</v>
      </c>
      <c r="I121" s="306"/>
      <c r="J121" s="306"/>
      <c r="K121" s="306"/>
      <c r="L121" s="306"/>
      <c r="M121" s="606"/>
    </row>
    <row r="122" spans="1:13" ht="12.75" hidden="1" customHeight="1">
      <c r="A122" s="1010">
        <f t="shared" si="36"/>
        <v>45634</v>
      </c>
      <c r="B122" s="1011"/>
      <c r="C122" s="1012"/>
      <c r="D122" s="291"/>
      <c r="E122" s="291"/>
      <c r="F122" s="1009">
        <f>F121+1</f>
        <v>45634</v>
      </c>
      <c r="G122" s="1009"/>
      <c r="H122" s="297" t="s">
        <v>394</v>
      </c>
      <c r="I122" s="298"/>
      <c r="J122" s="298"/>
      <c r="K122" s="298"/>
      <c r="L122" s="298"/>
      <c r="M122" s="607"/>
    </row>
    <row r="123" spans="1:13" ht="12.75" hidden="1" customHeight="1">
      <c r="A123" s="1010">
        <f t="shared" si="36"/>
        <v>45649</v>
      </c>
      <c r="B123" s="1011"/>
      <c r="C123" s="1012"/>
      <c r="D123" s="291"/>
      <c r="E123" s="291"/>
      <c r="F123" s="1026">
        <f>F122+15</f>
        <v>45649</v>
      </c>
      <c r="G123" s="1026"/>
      <c r="H123" s="288" t="s">
        <v>924</v>
      </c>
      <c r="I123" s="291"/>
      <c r="J123" s="291"/>
      <c r="K123" s="291"/>
      <c r="L123" s="291"/>
      <c r="M123" s="604"/>
    </row>
    <row r="124" spans="1:13" ht="12.75" hidden="1" customHeight="1">
      <c r="A124" s="1010">
        <f t="shared" si="36"/>
        <v>45650</v>
      </c>
      <c r="B124" s="1011"/>
      <c r="C124" s="1012"/>
      <c r="D124" s="291"/>
      <c r="E124" s="291"/>
      <c r="F124" s="1026">
        <f>F123+1</f>
        <v>45650</v>
      </c>
      <c r="G124" s="1026"/>
      <c r="H124" s="288" t="s">
        <v>924</v>
      </c>
      <c r="I124" s="291"/>
      <c r="J124" s="291"/>
      <c r="K124" s="291"/>
      <c r="L124" s="291"/>
      <c r="M124" s="604"/>
    </row>
    <row r="125" spans="1:13" ht="12.75" hidden="1" customHeight="1">
      <c r="A125" s="1010">
        <f t="shared" si="36"/>
        <v>45651</v>
      </c>
      <c r="B125" s="1011"/>
      <c r="C125" s="1012"/>
      <c r="D125" s="291"/>
      <c r="E125" s="291"/>
      <c r="F125" s="1009">
        <f t="shared" ref="F125:F137" si="37">F124+1</f>
        <v>45651</v>
      </c>
      <c r="G125" s="1009"/>
      <c r="H125" s="297" t="s">
        <v>903</v>
      </c>
      <c r="I125" s="298"/>
      <c r="J125" s="298"/>
      <c r="K125" s="298"/>
      <c r="L125" s="298"/>
      <c r="M125" s="607"/>
    </row>
    <row r="126" spans="1:13" ht="12.75" hidden="1" customHeight="1">
      <c r="A126" s="1010">
        <f t="shared" si="36"/>
        <v>45652</v>
      </c>
      <c r="B126" s="1011"/>
      <c r="C126" s="1012"/>
      <c r="D126" s="291"/>
      <c r="E126" s="291"/>
      <c r="F126" s="1008">
        <f t="shared" si="37"/>
        <v>45652</v>
      </c>
      <c r="G126" s="1008"/>
      <c r="H126" s="308" t="s">
        <v>924</v>
      </c>
      <c r="I126" s="309"/>
      <c r="J126" s="309"/>
      <c r="K126" s="309"/>
      <c r="L126" s="309"/>
      <c r="M126" s="608"/>
    </row>
    <row r="127" spans="1:13" ht="12.75" hidden="1" customHeight="1">
      <c r="A127" s="1010">
        <f t="shared" si="36"/>
        <v>45653</v>
      </c>
      <c r="B127" s="1011"/>
      <c r="C127" s="1012"/>
      <c r="D127" s="291"/>
      <c r="E127" s="291"/>
      <c r="F127" s="1008">
        <f t="shared" si="37"/>
        <v>45653</v>
      </c>
      <c r="G127" s="1008"/>
      <c r="H127" s="308" t="s">
        <v>924</v>
      </c>
      <c r="I127" s="309"/>
      <c r="J127" s="309"/>
      <c r="K127" s="309"/>
      <c r="L127" s="309"/>
      <c r="M127" s="608"/>
    </row>
    <row r="128" spans="1:13" ht="12.75" hidden="1" customHeight="1">
      <c r="A128" s="1010">
        <f t="shared" si="36"/>
        <v>45654</v>
      </c>
      <c r="B128" s="1011"/>
      <c r="C128" s="1012"/>
      <c r="D128" s="291"/>
      <c r="E128" s="291"/>
      <c r="F128" s="1008">
        <f t="shared" si="37"/>
        <v>45654</v>
      </c>
      <c r="G128" s="1008"/>
      <c r="H128" s="308" t="s">
        <v>924</v>
      </c>
      <c r="I128" s="310"/>
      <c r="J128" s="310"/>
      <c r="K128" s="310"/>
      <c r="L128" s="310"/>
      <c r="M128" s="608"/>
    </row>
    <row r="129" spans="1:13" ht="12.75" hidden="1" customHeight="1">
      <c r="A129" s="1010">
        <f t="shared" si="36"/>
        <v>45655</v>
      </c>
      <c r="B129" s="1011"/>
      <c r="C129" s="1012"/>
      <c r="D129" s="291"/>
      <c r="E129" s="291"/>
      <c r="F129" s="1008">
        <f t="shared" si="37"/>
        <v>45655</v>
      </c>
      <c r="G129" s="1008"/>
      <c r="H129" s="308" t="s">
        <v>924</v>
      </c>
      <c r="I129" s="310"/>
      <c r="J129" s="310"/>
      <c r="K129" s="310"/>
      <c r="L129" s="310"/>
      <c r="M129" s="608"/>
    </row>
    <row r="130" spans="1:13" ht="12.75" hidden="1" customHeight="1">
      <c r="A130" s="1010">
        <f t="shared" si="36"/>
        <v>45656</v>
      </c>
      <c r="B130" s="1011"/>
      <c r="C130" s="1012"/>
      <c r="D130" s="291"/>
      <c r="E130" s="291"/>
      <c r="F130" s="1008">
        <f t="shared" si="37"/>
        <v>45656</v>
      </c>
      <c r="G130" s="1008"/>
      <c r="H130" s="308" t="s">
        <v>924</v>
      </c>
      <c r="I130" s="310"/>
      <c r="J130" s="310"/>
      <c r="K130" s="310"/>
      <c r="L130" s="310"/>
      <c r="M130" s="608"/>
    </row>
    <row r="131" spans="1:13" ht="12.75" hidden="1" customHeight="1">
      <c r="A131" s="1010">
        <f t="shared" si="36"/>
        <v>45657</v>
      </c>
      <c r="B131" s="1011"/>
      <c r="C131" s="1012"/>
      <c r="D131" s="291"/>
      <c r="E131" s="291"/>
      <c r="F131" s="1008">
        <f t="shared" si="37"/>
        <v>45657</v>
      </c>
      <c r="G131" s="1008"/>
      <c r="H131" s="308" t="s">
        <v>924</v>
      </c>
      <c r="I131" s="310"/>
      <c r="J131" s="310"/>
      <c r="K131" s="310"/>
      <c r="L131" s="310"/>
      <c r="M131" s="608"/>
    </row>
    <row r="132" spans="1:13" ht="12.75" hidden="1" customHeight="1">
      <c r="A132" s="1010">
        <f t="shared" si="36"/>
        <v>45292</v>
      </c>
      <c r="B132" s="1011"/>
      <c r="C132" s="1012"/>
      <c r="D132" s="291"/>
      <c r="E132" s="291"/>
      <c r="F132" s="1008">
        <f>CONCATENATE("01/01/",W4)+0</f>
        <v>45292</v>
      </c>
      <c r="G132" s="1008"/>
      <c r="H132" s="308" t="s">
        <v>924</v>
      </c>
      <c r="I132" s="310"/>
      <c r="J132" s="310"/>
      <c r="K132" s="310"/>
      <c r="L132" s="310"/>
      <c r="M132" s="608"/>
    </row>
    <row r="133" spans="1:13" ht="12.75" hidden="1" customHeight="1">
      <c r="A133" s="1010">
        <f t="shared" si="36"/>
        <v>45293</v>
      </c>
      <c r="B133" s="1011"/>
      <c r="C133" s="1012"/>
      <c r="D133" s="291"/>
      <c r="E133" s="291"/>
      <c r="F133" s="1008">
        <f t="shared" si="37"/>
        <v>45293</v>
      </c>
      <c r="G133" s="1008"/>
      <c r="H133" s="308" t="s">
        <v>924</v>
      </c>
      <c r="I133" s="310"/>
      <c r="J133" s="310"/>
      <c r="K133" s="310"/>
      <c r="L133" s="310"/>
      <c r="M133" s="608"/>
    </row>
    <row r="134" spans="1:13" ht="12.75" hidden="1" customHeight="1">
      <c r="A134" s="1010">
        <f t="shared" si="36"/>
        <v>45294</v>
      </c>
      <c r="B134" s="1011"/>
      <c r="C134" s="1012"/>
      <c r="D134" s="291"/>
      <c r="E134" s="291"/>
      <c r="F134" s="1008">
        <f t="shared" si="37"/>
        <v>45294</v>
      </c>
      <c r="G134" s="1008"/>
      <c r="H134" s="308" t="s">
        <v>924</v>
      </c>
      <c r="I134" s="310"/>
      <c r="J134" s="310"/>
      <c r="K134" s="310"/>
      <c r="L134" s="310"/>
      <c r="M134" s="608"/>
    </row>
    <row r="135" spans="1:13" ht="12.75" hidden="1" customHeight="1">
      <c r="A135" s="1010">
        <f t="shared" si="36"/>
        <v>45295</v>
      </c>
      <c r="B135" s="1011"/>
      <c r="C135" s="1012"/>
      <c r="D135" s="291"/>
      <c r="E135" s="291"/>
      <c r="F135" s="1008">
        <f t="shared" si="37"/>
        <v>45295</v>
      </c>
      <c r="G135" s="1008"/>
      <c r="H135" s="308" t="s">
        <v>924</v>
      </c>
      <c r="I135" s="310"/>
      <c r="J135" s="310"/>
      <c r="K135" s="310"/>
      <c r="L135" s="310"/>
      <c r="M135" s="608"/>
    </row>
    <row r="136" spans="1:13" ht="12.75" hidden="1" customHeight="1">
      <c r="A136" s="1010">
        <f t="shared" si="36"/>
        <v>45296</v>
      </c>
      <c r="B136" s="1011"/>
      <c r="C136" s="1012"/>
      <c r="D136" s="291"/>
      <c r="E136" s="291"/>
      <c r="F136" s="1008">
        <f t="shared" si="37"/>
        <v>45296</v>
      </c>
      <c r="G136" s="1008"/>
      <c r="H136" s="308" t="s">
        <v>924</v>
      </c>
      <c r="I136" s="310"/>
      <c r="J136" s="310"/>
      <c r="K136" s="310"/>
      <c r="L136" s="310"/>
      <c r="M136" s="608"/>
    </row>
    <row r="137" spans="1:13" ht="12.75" hidden="1" customHeight="1">
      <c r="A137" s="1010">
        <f t="shared" si="36"/>
        <v>45297</v>
      </c>
      <c r="B137" s="1011"/>
      <c r="C137" s="1012"/>
      <c r="D137" s="291"/>
      <c r="E137" s="291"/>
      <c r="F137" s="1009">
        <f t="shared" si="37"/>
        <v>45297</v>
      </c>
      <c r="G137" s="1009"/>
      <c r="H137" s="297" t="s">
        <v>924</v>
      </c>
      <c r="I137" s="311"/>
      <c r="J137" s="311"/>
      <c r="K137" s="311"/>
      <c r="L137" s="311"/>
      <c r="M137" s="607"/>
    </row>
    <row r="138" spans="1:13" ht="12.75" hidden="1" customHeight="1">
      <c r="A138" s="1010">
        <f t="shared" si="36"/>
        <v>45355</v>
      </c>
      <c r="B138" s="1011"/>
      <c r="C138" s="1012"/>
      <c r="D138" s="291"/>
      <c r="E138" s="291"/>
      <c r="F138" s="1017">
        <f>$C$56</f>
        <v>45355</v>
      </c>
      <c r="G138" s="1024"/>
      <c r="H138" s="292" t="s">
        <v>905</v>
      </c>
      <c r="I138" s="295"/>
      <c r="J138" s="295"/>
      <c r="K138" s="295"/>
      <c r="L138" s="295"/>
      <c r="M138" s="296"/>
    </row>
    <row r="139" spans="1:13" ht="12.75" hidden="1" customHeight="1">
      <c r="A139" s="1010">
        <f t="shared" si="36"/>
        <v>45369</v>
      </c>
      <c r="B139" s="1011"/>
      <c r="C139" s="1012"/>
      <c r="D139" s="291"/>
      <c r="E139" s="291"/>
      <c r="F139" s="1022">
        <f>F137+72</f>
        <v>45369</v>
      </c>
      <c r="G139" s="1022"/>
      <c r="H139" s="305" t="s">
        <v>385</v>
      </c>
      <c r="I139" s="307"/>
      <c r="J139" s="307"/>
      <c r="K139" s="307"/>
      <c r="L139" s="307"/>
      <c r="M139" s="606"/>
    </row>
    <row r="140" spans="1:13" ht="12.75" hidden="1" customHeight="1">
      <c r="A140" s="1010">
        <f t="shared" si="36"/>
        <v>45379</v>
      </c>
      <c r="B140" s="1011"/>
      <c r="C140" s="1012"/>
      <c r="D140" s="291"/>
      <c r="E140" s="291"/>
      <c r="F140" s="1022">
        <f>F141-1</f>
        <v>45379</v>
      </c>
      <c r="G140" s="1023"/>
      <c r="H140" s="305" t="s">
        <v>386</v>
      </c>
      <c r="I140" s="307"/>
      <c r="J140" s="307"/>
      <c r="K140" s="307"/>
      <c r="L140" s="307"/>
      <c r="M140" s="606"/>
    </row>
    <row r="141" spans="1:13" ht="12.75" hidden="1" customHeight="1">
      <c r="A141" s="1010">
        <f t="shared" si="36"/>
        <v>45380</v>
      </c>
      <c r="B141" s="1011"/>
      <c r="C141" s="1012"/>
      <c r="D141" s="291"/>
      <c r="E141" s="291"/>
      <c r="F141" s="1009">
        <f>F142-1</f>
        <v>45380</v>
      </c>
      <c r="G141" s="1025"/>
      <c r="H141" s="297" t="s">
        <v>387</v>
      </c>
      <c r="I141" s="311"/>
      <c r="J141" s="311"/>
      <c r="K141" s="311"/>
      <c r="L141" s="311"/>
      <c r="M141" s="607"/>
    </row>
    <row r="142" spans="1:13" ht="12.75" hidden="1" customHeight="1">
      <c r="A142" s="1010">
        <f t="shared" si="36"/>
        <v>45381</v>
      </c>
      <c r="B142" s="1011"/>
      <c r="C142" s="1012"/>
      <c r="D142" s="291"/>
      <c r="E142" s="291"/>
      <c r="F142" s="1008">
        <f>F143-1</f>
        <v>45381</v>
      </c>
      <c r="G142" s="1019"/>
      <c r="H142" s="308" t="s">
        <v>925</v>
      </c>
      <c r="I142" s="310"/>
      <c r="J142" s="310"/>
      <c r="K142" s="310"/>
      <c r="L142" s="310"/>
      <c r="M142" s="608"/>
    </row>
    <row r="143" spans="1:13" ht="12.75" hidden="1" customHeight="1">
      <c r="A143" s="1010">
        <f t="shared" si="36"/>
        <v>45382</v>
      </c>
      <c r="B143" s="1011"/>
      <c r="C143" s="1012"/>
      <c r="D143" s="291"/>
      <c r="E143" s="291"/>
      <c r="F143" s="1020">
        <f>$Q$56</f>
        <v>45382</v>
      </c>
      <c r="G143" s="1021"/>
      <c r="H143" s="312" t="s">
        <v>926</v>
      </c>
      <c r="I143" s="313"/>
      <c r="J143" s="313"/>
      <c r="K143" s="313"/>
      <c r="L143" s="313"/>
      <c r="M143" s="609"/>
    </row>
    <row r="144" spans="1:13" ht="12.75" hidden="1" customHeight="1">
      <c r="A144" s="1010">
        <f t="shared" si="36"/>
        <v>45383</v>
      </c>
      <c r="B144" s="1011"/>
      <c r="C144" s="1012"/>
      <c r="D144" s="291"/>
      <c r="E144" s="291"/>
      <c r="F144" s="1022">
        <f>F143+1</f>
        <v>45383</v>
      </c>
      <c r="G144" s="1023"/>
      <c r="H144" s="305" t="s">
        <v>908</v>
      </c>
      <c r="I144" s="307"/>
      <c r="J144" s="307"/>
      <c r="K144" s="307"/>
      <c r="L144" s="307"/>
      <c r="M144" s="606"/>
    </row>
    <row r="145" spans="1:13" ht="12.75" hidden="1" customHeight="1">
      <c r="A145" s="1010">
        <f t="shared" si="36"/>
        <v>45384</v>
      </c>
      <c r="B145" s="1011"/>
      <c r="C145" s="1012"/>
      <c r="D145" s="291"/>
      <c r="E145" s="291"/>
      <c r="F145" s="1008">
        <f t="shared" ref="F145:F151" si="38">F144+1</f>
        <v>45384</v>
      </c>
      <c r="G145" s="1019"/>
      <c r="H145" s="308" t="s">
        <v>927</v>
      </c>
      <c r="I145" s="310"/>
      <c r="J145" s="310"/>
      <c r="K145" s="310"/>
      <c r="L145" s="310"/>
      <c r="M145" s="608"/>
    </row>
    <row r="146" spans="1:13" ht="12.75" hidden="1" customHeight="1">
      <c r="A146" s="1010">
        <f t="shared" si="36"/>
        <v>45385</v>
      </c>
      <c r="B146" s="1011"/>
      <c r="C146" s="1012"/>
      <c r="D146" s="291"/>
      <c r="E146" s="291"/>
      <c r="F146" s="1008">
        <f t="shared" si="38"/>
        <v>45385</v>
      </c>
      <c r="G146" s="1019"/>
      <c r="H146" s="308" t="s">
        <v>927</v>
      </c>
      <c r="I146" s="310"/>
      <c r="J146" s="310"/>
      <c r="K146" s="310"/>
      <c r="L146" s="310"/>
      <c r="M146" s="608"/>
    </row>
    <row r="147" spans="1:13" ht="12.75" hidden="1" customHeight="1">
      <c r="A147" s="1010">
        <f t="shared" si="36"/>
        <v>45386</v>
      </c>
      <c r="B147" s="1011"/>
      <c r="C147" s="1012"/>
      <c r="D147" s="291"/>
      <c r="E147" s="291"/>
      <c r="F147" s="1008">
        <f t="shared" si="38"/>
        <v>45386</v>
      </c>
      <c r="G147" s="1019"/>
      <c r="H147" s="308" t="s">
        <v>927</v>
      </c>
      <c r="I147" s="310"/>
      <c r="J147" s="310"/>
      <c r="K147" s="310"/>
      <c r="L147" s="310"/>
      <c r="M147" s="608"/>
    </row>
    <row r="148" spans="1:13" ht="12.75" hidden="1" customHeight="1">
      <c r="A148" s="1010">
        <f t="shared" si="36"/>
        <v>45387</v>
      </c>
      <c r="B148" s="1011"/>
      <c r="C148" s="1012"/>
      <c r="D148" s="291"/>
      <c r="E148" s="291"/>
      <c r="F148" s="1008">
        <f t="shared" si="38"/>
        <v>45387</v>
      </c>
      <c r="G148" s="1019"/>
      <c r="H148" s="308" t="s">
        <v>927</v>
      </c>
      <c r="I148" s="310"/>
      <c r="J148" s="310"/>
      <c r="K148" s="310"/>
      <c r="L148" s="310"/>
      <c r="M148" s="608"/>
    </row>
    <row r="149" spans="1:13" ht="12.75" hidden="1" customHeight="1">
      <c r="A149" s="1010">
        <f t="shared" si="36"/>
        <v>45388</v>
      </c>
      <c r="B149" s="1011"/>
      <c r="C149" s="1012"/>
      <c r="D149" s="291"/>
      <c r="E149" s="291"/>
      <c r="F149" s="1008">
        <f t="shared" si="38"/>
        <v>45388</v>
      </c>
      <c r="G149" s="1019"/>
      <c r="H149" s="308" t="s">
        <v>927</v>
      </c>
      <c r="I149" s="310"/>
      <c r="J149" s="310"/>
      <c r="K149" s="310"/>
      <c r="L149" s="310"/>
      <c r="M149" s="608"/>
    </row>
    <row r="150" spans="1:13" ht="12.75" hidden="1" customHeight="1">
      <c r="A150" s="1010">
        <f t="shared" si="36"/>
        <v>45389</v>
      </c>
      <c r="B150" s="1011"/>
      <c r="C150" s="1012"/>
      <c r="D150" s="291"/>
      <c r="E150" s="291"/>
      <c r="F150" s="1008">
        <f t="shared" si="38"/>
        <v>45389</v>
      </c>
      <c r="G150" s="1019"/>
      <c r="H150" s="308" t="s">
        <v>927</v>
      </c>
      <c r="I150" s="310"/>
      <c r="J150" s="310"/>
      <c r="K150" s="310"/>
      <c r="L150" s="310"/>
      <c r="M150" s="608"/>
    </row>
    <row r="151" spans="1:13" ht="12.75" hidden="1" customHeight="1">
      <c r="A151" s="1010">
        <f t="shared" si="36"/>
        <v>45390</v>
      </c>
      <c r="B151" s="1011"/>
      <c r="C151" s="1012"/>
      <c r="D151" s="291"/>
      <c r="E151" s="291"/>
      <c r="F151" s="1022">
        <f t="shared" si="38"/>
        <v>45390</v>
      </c>
      <c r="G151" s="1023"/>
      <c r="H151" s="305" t="s">
        <v>909</v>
      </c>
      <c r="I151" s="307"/>
      <c r="J151" s="307"/>
      <c r="K151" s="307"/>
      <c r="L151" s="307"/>
      <c r="M151" s="606"/>
    </row>
    <row r="152" spans="1:13" ht="12.75" hidden="1" customHeight="1">
      <c r="A152" s="1010">
        <f t="shared" si="36"/>
        <v>45413</v>
      </c>
      <c r="B152" s="1011"/>
      <c r="C152" s="1012"/>
      <c r="D152" s="291"/>
      <c r="E152" s="291"/>
      <c r="F152" s="1009">
        <f>CONCATENATE("01/05/",H99)+0</f>
        <v>45413</v>
      </c>
      <c r="G152" s="1009"/>
      <c r="H152" s="297" t="s">
        <v>391</v>
      </c>
      <c r="I152" s="311"/>
      <c r="J152" s="311"/>
      <c r="K152" s="311"/>
      <c r="L152" s="311"/>
      <c r="M152" s="607"/>
    </row>
    <row r="153" spans="1:13" ht="12.75" hidden="1" customHeight="1">
      <c r="A153" s="1010">
        <f t="shared" si="36"/>
        <v>45418</v>
      </c>
      <c r="B153" s="1011"/>
      <c r="C153" s="1012"/>
      <c r="D153" s="291"/>
      <c r="E153" s="291"/>
      <c r="F153" s="1017">
        <f>$AJ$58</f>
        <v>45418</v>
      </c>
      <c r="G153" s="1017"/>
      <c r="H153" s="292" t="s">
        <v>910</v>
      </c>
      <c r="I153" s="295"/>
      <c r="J153" s="295"/>
      <c r="K153" s="295"/>
      <c r="L153" s="295"/>
      <c r="M153" s="296"/>
    </row>
    <row r="154" spans="1:13" ht="12.75" hidden="1" customHeight="1">
      <c r="A154" s="1010">
        <f>IF(E154&gt;0,F154,$F$165)</f>
        <v>45474</v>
      </c>
      <c r="B154" s="1011"/>
      <c r="C154" s="1012"/>
      <c r="D154" s="291"/>
      <c r="E154" s="289">
        <f>F154-$K$98</f>
        <v>-2</v>
      </c>
      <c r="F154" s="1018">
        <f>F152+50</f>
        <v>45463</v>
      </c>
      <c r="G154" s="1018"/>
      <c r="H154" s="314" t="s">
        <v>928</v>
      </c>
      <c r="I154" s="315"/>
      <c r="J154" s="315"/>
      <c r="K154" s="315"/>
      <c r="L154" s="315"/>
      <c r="M154" s="605"/>
    </row>
    <row r="155" spans="1:13" ht="12.75" hidden="1" customHeight="1">
      <c r="A155" s="1010">
        <f t="shared" ref="A155:A164" si="39">IF(E155&gt;0,F155,$F$165)</f>
        <v>45474</v>
      </c>
      <c r="B155" s="1011"/>
      <c r="C155" s="1012"/>
      <c r="D155" s="291"/>
      <c r="E155" s="289">
        <f t="shared" ref="E155:E164" si="40">F155-$K$98</f>
        <v>-1</v>
      </c>
      <c r="F155" s="1018">
        <f>F154+1</f>
        <v>45464</v>
      </c>
      <c r="G155" s="1018"/>
      <c r="H155" s="314" t="s">
        <v>928</v>
      </c>
      <c r="I155" s="315"/>
      <c r="J155" s="315"/>
      <c r="K155" s="315"/>
      <c r="L155" s="315"/>
      <c r="M155" s="605"/>
    </row>
    <row r="156" spans="1:13" ht="12.75" hidden="1" customHeight="1">
      <c r="A156" s="1010">
        <f t="shared" si="39"/>
        <v>45474</v>
      </c>
      <c r="B156" s="1011"/>
      <c r="C156" s="1012"/>
      <c r="D156" s="291"/>
      <c r="E156" s="289">
        <f t="shared" si="40"/>
        <v>0</v>
      </c>
      <c r="F156" s="1018">
        <f t="shared" ref="F156:F219" si="41">F155+1</f>
        <v>45465</v>
      </c>
      <c r="G156" s="1018"/>
      <c r="H156" s="314" t="s">
        <v>928</v>
      </c>
      <c r="I156" s="315"/>
      <c r="J156" s="315"/>
      <c r="K156" s="315"/>
      <c r="L156" s="315"/>
      <c r="M156" s="605"/>
    </row>
    <row r="157" spans="1:13" ht="12.75" hidden="1" customHeight="1">
      <c r="A157" s="1010">
        <f t="shared" si="39"/>
        <v>45466</v>
      </c>
      <c r="B157" s="1011"/>
      <c r="C157" s="1012"/>
      <c r="D157" s="291"/>
      <c r="E157" s="289">
        <f t="shared" si="40"/>
        <v>1</v>
      </c>
      <c r="F157" s="1018">
        <f t="shared" si="41"/>
        <v>45466</v>
      </c>
      <c r="G157" s="1018"/>
      <c r="H157" s="314" t="s">
        <v>928</v>
      </c>
      <c r="I157" s="315"/>
      <c r="J157" s="315"/>
      <c r="K157" s="315"/>
      <c r="L157" s="315"/>
      <c r="M157" s="605"/>
    </row>
    <row r="158" spans="1:13" ht="12.75" hidden="1" customHeight="1">
      <c r="A158" s="1010">
        <f t="shared" si="39"/>
        <v>45467</v>
      </c>
      <c r="B158" s="1011"/>
      <c r="C158" s="1012"/>
      <c r="D158" s="291"/>
      <c r="E158" s="289">
        <f t="shared" si="40"/>
        <v>2</v>
      </c>
      <c r="F158" s="1018">
        <f t="shared" si="41"/>
        <v>45467</v>
      </c>
      <c r="G158" s="1018"/>
      <c r="H158" s="314" t="s">
        <v>928</v>
      </c>
      <c r="I158" s="315"/>
      <c r="J158" s="315"/>
      <c r="K158" s="315"/>
      <c r="L158" s="315"/>
      <c r="M158" s="605"/>
    </row>
    <row r="159" spans="1:13" ht="12.75" hidden="1" customHeight="1">
      <c r="A159" s="1010">
        <f t="shared" si="39"/>
        <v>45468</v>
      </c>
      <c r="B159" s="1011"/>
      <c r="C159" s="1012"/>
      <c r="D159" s="291"/>
      <c r="E159" s="289">
        <f t="shared" si="40"/>
        <v>3</v>
      </c>
      <c r="F159" s="1018">
        <f t="shared" si="41"/>
        <v>45468</v>
      </c>
      <c r="G159" s="1018"/>
      <c r="H159" s="314" t="s">
        <v>928</v>
      </c>
      <c r="I159" s="315"/>
      <c r="J159" s="315"/>
      <c r="K159" s="315"/>
      <c r="L159" s="315"/>
      <c r="M159" s="605"/>
    </row>
    <row r="160" spans="1:13" ht="12.75" hidden="1" customHeight="1">
      <c r="A160" s="1010">
        <f t="shared" si="39"/>
        <v>45469</v>
      </c>
      <c r="B160" s="1011"/>
      <c r="C160" s="1012"/>
      <c r="D160" s="291"/>
      <c r="E160" s="289">
        <f t="shared" si="40"/>
        <v>4</v>
      </c>
      <c r="F160" s="1018">
        <f t="shared" si="41"/>
        <v>45469</v>
      </c>
      <c r="G160" s="1018"/>
      <c r="H160" s="314" t="s">
        <v>928</v>
      </c>
      <c r="I160" s="316"/>
      <c r="J160" s="316"/>
      <c r="K160" s="316"/>
      <c r="L160" s="316"/>
      <c r="M160" s="610"/>
    </row>
    <row r="161" spans="1:13" ht="12.75" hidden="1" customHeight="1">
      <c r="A161" s="1010">
        <f t="shared" si="39"/>
        <v>45470</v>
      </c>
      <c r="B161" s="1011"/>
      <c r="C161" s="1012"/>
      <c r="D161" s="291"/>
      <c r="E161" s="289">
        <f t="shared" si="40"/>
        <v>5</v>
      </c>
      <c r="F161" s="1018">
        <f t="shared" si="41"/>
        <v>45470</v>
      </c>
      <c r="G161" s="1018"/>
      <c r="H161" s="314" t="s">
        <v>928</v>
      </c>
      <c r="I161" s="316"/>
      <c r="J161" s="316"/>
      <c r="K161" s="316"/>
      <c r="L161" s="316"/>
      <c r="M161" s="610"/>
    </row>
    <row r="162" spans="1:13" ht="12.75" hidden="1" customHeight="1">
      <c r="A162" s="1010">
        <f t="shared" si="39"/>
        <v>45471</v>
      </c>
      <c r="B162" s="1011"/>
      <c r="C162" s="1012"/>
      <c r="D162" s="291"/>
      <c r="E162" s="289">
        <f t="shared" si="40"/>
        <v>6</v>
      </c>
      <c r="F162" s="1018">
        <f t="shared" si="41"/>
        <v>45471</v>
      </c>
      <c r="G162" s="1018"/>
      <c r="H162" s="314" t="s">
        <v>928</v>
      </c>
      <c r="I162" s="316"/>
      <c r="J162" s="316"/>
      <c r="K162" s="316"/>
      <c r="L162" s="316"/>
      <c r="M162" s="610"/>
    </row>
    <row r="163" spans="1:13" ht="12.75" hidden="1" customHeight="1">
      <c r="A163" s="1010">
        <f t="shared" si="39"/>
        <v>45472</v>
      </c>
      <c r="B163" s="1011"/>
      <c r="C163" s="1012"/>
      <c r="D163" s="291"/>
      <c r="E163" s="289">
        <f t="shared" si="40"/>
        <v>7</v>
      </c>
      <c r="F163" s="1018">
        <f t="shared" si="41"/>
        <v>45472</v>
      </c>
      <c r="G163" s="1018"/>
      <c r="H163" s="314" t="s">
        <v>928</v>
      </c>
      <c r="I163" s="316"/>
      <c r="J163" s="316"/>
      <c r="K163" s="316"/>
      <c r="L163" s="316"/>
      <c r="M163" s="610"/>
    </row>
    <row r="164" spans="1:13" ht="12.75" hidden="1" customHeight="1">
      <c r="A164" s="1010">
        <f t="shared" si="39"/>
        <v>45473</v>
      </c>
      <c r="B164" s="1011"/>
      <c r="C164" s="1012"/>
      <c r="D164" s="291"/>
      <c r="E164" s="289">
        <f t="shared" si="40"/>
        <v>8</v>
      </c>
      <c r="F164" s="1018">
        <f t="shared" si="41"/>
        <v>45473</v>
      </c>
      <c r="G164" s="1018"/>
      <c r="H164" s="314" t="s">
        <v>928</v>
      </c>
      <c r="I164" s="316"/>
      <c r="J164" s="316"/>
      <c r="K164" s="316"/>
      <c r="L164" s="316"/>
      <c r="M164" s="610"/>
    </row>
    <row r="165" spans="1:13" ht="12.75" hidden="1" customHeight="1">
      <c r="A165" s="1010">
        <f>F165</f>
        <v>45474</v>
      </c>
      <c r="B165" s="1011"/>
      <c r="C165" s="1012"/>
      <c r="D165" s="291"/>
      <c r="E165" s="291"/>
      <c r="F165" s="1008">
        <f t="shared" si="41"/>
        <v>45474</v>
      </c>
      <c r="G165" s="1008"/>
      <c r="H165" s="308" t="s">
        <v>929</v>
      </c>
      <c r="I165" s="248"/>
      <c r="J165" s="248"/>
      <c r="K165" s="248"/>
      <c r="L165" s="260"/>
    </row>
    <row r="166" spans="1:13" ht="12.75" hidden="1" customHeight="1">
      <c r="A166" s="1010">
        <f t="shared" ref="A166:A229" si="42">F166</f>
        <v>45475</v>
      </c>
      <c r="B166" s="1011"/>
      <c r="C166" s="1012"/>
      <c r="D166" s="291"/>
      <c r="E166" s="291"/>
      <c r="F166" s="1008">
        <f t="shared" si="41"/>
        <v>45475</v>
      </c>
      <c r="G166" s="1008"/>
      <c r="H166" s="309"/>
      <c r="I166" s="248"/>
      <c r="J166" s="248"/>
      <c r="K166" s="248"/>
      <c r="L166" s="260"/>
    </row>
    <row r="167" spans="1:13" ht="12.75" hidden="1" customHeight="1">
      <c r="A167" s="1010">
        <f t="shared" si="42"/>
        <v>45476</v>
      </c>
      <c r="B167" s="1011"/>
      <c r="C167" s="1012"/>
      <c r="D167" s="291"/>
      <c r="E167" s="291"/>
      <c r="F167" s="1008">
        <f t="shared" si="41"/>
        <v>45476</v>
      </c>
      <c r="G167" s="1008"/>
      <c r="H167" s="309"/>
      <c r="I167" s="248"/>
      <c r="J167" s="248"/>
      <c r="K167" s="248"/>
      <c r="L167" s="260"/>
    </row>
    <row r="168" spans="1:13" ht="12.75" hidden="1" customHeight="1">
      <c r="A168" s="1010">
        <f t="shared" si="42"/>
        <v>45477</v>
      </c>
      <c r="B168" s="1011"/>
      <c r="C168" s="1012"/>
      <c r="D168" s="291"/>
      <c r="E168" s="291"/>
      <c r="F168" s="1008">
        <f t="shared" si="41"/>
        <v>45477</v>
      </c>
      <c r="G168" s="1008"/>
      <c r="H168" s="309"/>
      <c r="I168" s="248"/>
      <c r="J168" s="248"/>
      <c r="K168" s="248"/>
      <c r="L168" s="260"/>
    </row>
    <row r="169" spans="1:13" ht="12.75" hidden="1" customHeight="1">
      <c r="A169" s="1010">
        <f t="shared" si="42"/>
        <v>45478</v>
      </c>
      <c r="B169" s="1011"/>
      <c r="C169" s="1012"/>
      <c r="D169" s="291"/>
      <c r="E169" s="291"/>
      <c r="F169" s="1008">
        <f t="shared" si="41"/>
        <v>45478</v>
      </c>
      <c r="G169" s="1008"/>
      <c r="H169" s="309"/>
      <c r="I169" s="248"/>
      <c r="J169" s="248"/>
      <c r="K169" s="248"/>
      <c r="L169" s="260"/>
    </row>
    <row r="170" spans="1:13" ht="12.75" hidden="1" customHeight="1">
      <c r="A170" s="1010">
        <f t="shared" si="42"/>
        <v>45479</v>
      </c>
      <c r="B170" s="1011"/>
      <c r="C170" s="1012"/>
      <c r="D170" s="291"/>
      <c r="E170" s="291"/>
      <c r="F170" s="1008">
        <f t="shared" si="41"/>
        <v>45479</v>
      </c>
      <c r="G170" s="1008"/>
      <c r="H170" s="309"/>
      <c r="I170" s="248"/>
      <c r="J170" s="248"/>
      <c r="K170" s="248"/>
      <c r="L170" s="260"/>
    </row>
    <row r="171" spans="1:13" ht="12.75" hidden="1" customHeight="1">
      <c r="A171" s="1010">
        <f t="shared" si="42"/>
        <v>45480</v>
      </c>
      <c r="B171" s="1011"/>
      <c r="C171" s="1012"/>
      <c r="D171" s="291"/>
      <c r="E171" s="291"/>
      <c r="F171" s="1008">
        <f t="shared" si="41"/>
        <v>45480</v>
      </c>
      <c r="G171" s="1008"/>
      <c r="H171" s="309"/>
      <c r="I171" s="248"/>
      <c r="J171" s="248"/>
      <c r="K171" s="248"/>
      <c r="L171" s="260"/>
    </row>
    <row r="172" spans="1:13" ht="12.75" hidden="1" customHeight="1">
      <c r="A172" s="1010">
        <f t="shared" si="42"/>
        <v>45481</v>
      </c>
      <c r="B172" s="1011"/>
      <c r="C172" s="1012"/>
      <c r="D172" s="291"/>
      <c r="E172" s="291"/>
      <c r="F172" s="1008">
        <f t="shared" si="41"/>
        <v>45481</v>
      </c>
      <c r="G172" s="1008"/>
      <c r="H172" s="309"/>
      <c r="I172" s="248"/>
      <c r="J172" s="248"/>
      <c r="K172" s="248"/>
      <c r="L172" s="260"/>
    </row>
    <row r="173" spans="1:13" ht="12.75" hidden="1" customHeight="1">
      <c r="A173" s="1010">
        <f t="shared" si="42"/>
        <v>45482</v>
      </c>
      <c r="B173" s="1011"/>
      <c r="C173" s="1012"/>
      <c r="D173" s="291"/>
      <c r="E173" s="291"/>
      <c r="F173" s="1008">
        <f t="shared" si="41"/>
        <v>45482</v>
      </c>
      <c r="G173" s="1008"/>
      <c r="H173" s="309"/>
      <c r="I173" s="248"/>
      <c r="J173" s="248"/>
      <c r="K173" s="248"/>
      <c r="L173" s="260"/>
    </row>
    <row r="174" spans="1:13" ht="12.75" hidden="1" customHeight="1">
      <c r="A174" s="1010">
        <f t="shared" si="42"/>
        <v>45483</v>
      </c>
      <c r="B174" s="1011"/>
      <c r="C174" s="1012"/>
      <c r="D174" s="291"/>
      <c r="E174" s="291"/>
      <c r="F174" s="1008">
        <f t="shared" si="41"/>
        <v>45483</v>
      </c>
      <c r="G174" s="1008"/>
      <c r="H174" s="309"/>
      <c r="I174" s="248"/>
      <c r="J174" s="248"/>
      <c r="K174" s="248"/>
      <c r="L174" s="260"/>
    </row>
    <row r="175" spans="1:13" ht="12.75" hidden="1" customHeight="1">
      <c r="A175" s="1010">
        <f t="shared" si="42"/>
        <v>45484</v>
      </c>
      <c r="B175" s="1011"/>
      <c r="C175" s="1012"/>
      <c r="D175" s="291"/>
      <c r="E175" s="291"/>
      <c r="F175" s="1008">
        <f t="shared" si="41"/>
        <v>45484</v>
      </c>
      <c r="G175" s="1008"/>
      <c r="H175" s="309"/>
      <c r="I175" s="248"/>
      <c r="J175" s="248"/>
      <c r="K175" s="248"/>
      <c r="L175" s="260"/>
    </row>
    <row r="176" spans="1:13" ht="12.75" hidden="1" customHeight="1">
      <c r="A176" s="1010">
        <f t="shared" si="42"/>
        <v>45485</v>
      </c>
      <c r="B176" s="1011"/>
      <c r="C176" s="1012"/>
      <c r="D176" s="291"/>
      <c r="E176" s="291"/>
      <c r="F176" s="1008">
        <f t="shared" si="41"/>
        <v>45485</v>
      </c>
      <c r="G176" s="1008"/>
      <c r="H176" s="309"/>
      <c r="I176" s="248"/>
      <c r="J176" s="248"/>
      <c r="K176" s="248"/>
      <c r="L176" s="260"/>
    </row>
    <row r="177" spans="1:12" ht="12.75" hidden="1" customHeight="1">
      <c r="A177" s="1010">
        <f t="shared" si="42"/>
        <v>45486</v>
      </c>
      <c r="B177" s="1011"/>
      <c r="C177" s="1012"/>
      <c r="D177" s="291"/>
      <c r="E177" s="291"/>
      <c r="F177" s="1008">
        <f t="shared" si="41"/>
        <v>45486</v>
      </c>
      <c r="G177" s="1008"/>
      <c r="H177" s="309"/>
      <c r="I177" s="248"/>
      <c r="J177" s="248"/>
      <c r="K177" s="248"/>
      <c r="L177" s="260"/>
    </row>
    <row r="178" spans="1:12" ht="12.75" hidden="1" customHeight="1">
      <c r="A178" s="1010">
        <f t="shared" si="42"/>
        <v>45487</v>
      </c>
      <c r="B178" s="1011"/>
      <c r="C178" s="1012"/>
      <c r="D178" s="291"/>
      <c r="E178" s="291"/>
      <c r="F178" s="1008">
        <f t="shared" si="41"/>
        <v>45487</v>
      </c>
      <c r="G178" s="1008"/>
      <c r="H178" s="309"/>
      <c r="I178" s="248"/>
      <c r="J178" s="248"/>
      <c r="K178" s="248"/>
      <c r="L178" s="260"/>
    </row>
    <row r="179" spans="1:12" ht="12.75" hidden="1" customHeight="1">
      <c r="A179" s="1010">
        <f t="shared" si="42"/>
        <v>45488</v>
      </c>
      <c r="B179" s="1011"/>
      <c r="C179" s="1012"/>
      <c r="D179" s="291"/>
      <c r="E179" s="291"/>
      <c r="F179" s="1008">
        <f t="shared" si="41"/>
        <v>45488</v>
      </c>
      <c r="G179" s="1008"/>
      <c r="H179" s="308"/>
      <c r="I179" s="248"/>
      <c r="J179" s="248"/>
      <c r="K179" s="248"/>
      <c r="L179" s="260"/>
    </row>
    <row r="180" spans="1:12" ht="12.75" hidden="1" customHeight="1">
      <c r="A180" s="1010">
        <f t="shared" si="42"/>
        <v>45489</v>
      </c>
      <c r="B180" s="1011"/>
      <c r="C180" s="1012"/>
      <c r="D180" s="291"/>
      <c r="E180" s="291"/>
      <c r="F180" s="1008">
        <f t="shared" si="41"/>
        <v>45489</v>
      </c>
      <c r="G180" s="1008"/>
      <c r="H180" s="309"/>
      <c r="I180" s="248"/>
      <c r="J180" s="248"/>
      <c r="K180" s="248"/>
      <c r="L180" s="260"/>
    </row>
    <row r="181" spans="1:12" ht="12.75" hidden="1" customHeight="1">
      <c r="A181" s="1010">
        <f t="shared" si="42"/>
        <v>45490</v>
      </c>
      <c r="B181" s="1011"/>
      <c r="C181" s="1012"/>
      <c r="D181" s="291"/>
      <c r="E181" s="291"/>
      <c r="F181" s="1008">
        <f t="shared" si="41"/>
        <v>45490</v>
      </c>
      <c r="G181" s="1008"/>
      <c r="H181" s="309"/>
      <c r="I181" s="248"/>
      <c r="J181" s="248"/>
      <c r="K181" s="248"/>
      <c r="L181" s="260"/>
    </row>
    <row r="182" spans="1:12" ht="12.75" hidden="1" customHeight="1">
      <c r="A182" s="1010">
        <f t="shared" si="42"/>
        <v>45491</v>
      </c>
      <c r="B182" s="1011"/>
      <c r="C182" s="1012"/>
      <c r="D182" s="291"/>
      <c r="E182" s="291"/>
      <c r="F182" s="1008">
        <f t="shared" si="41"/>
        <v>45491</v>
      </c>
      <c r="G182" s="1008"/>
      <c r="H182" s="309"/>
      <c r="I182" s="248"/>
      <c r="J182" s="248"/>
      <c r="K182" s="248"/>
      <c r="L182" s="260"/>
    </row>
    <row r="183" spans="1:12" ht="12.75" hidden="1" customHeight="1">
      <c r="A183" s="1010">
        <f t="shared" si="42"/>
        <v>45492</v>
      </c>
      <c r="B183" s="1011"/>
      <c r="C183" s="1012"/>
      <c r="D183" s="291"/>
      <c r="E183" s="291"/>
      <c r="F183" s="1008">
        <f t="shared" si="41"/>
        <v>45492</v>
      </c>
      <c r="G183" s="1008"/>
      <c r="H183" s="309"/>
      <c r="I183" s="248"/>
      <c r="J183" s="248"/>
      <c r="K183" s="248"/>
      <c r="L183" s="260"/>
    </row>
    <row r="184" spans="1:12" ht="12.75" hidden="1" customHeight="1">
      <c r="A184" s="1010">
        <f t="shared" si="42"/>
        <v>45493</v>
      </c>
      <c r="B184" s="1011"/>
      <c r="C184" s="1012"/>
      <c r="D184" s="291"/>
      <c r="E184" s="291"/>
      <c r="F184" s="1008">
        <f t="shared" si="41"/>
        <v>45493</v>
      </c>
      <c r="G184" s="1008"/>
      <c r="H184" s="309"/>
      <c r="I184" s="248"/>
      <c r="J184" s="248"/>
      <c r="K184" s="248"/>
      <c r="L184" s="260"/>
    </row>
    <row r="185" spans="1:12" ht="12.75" hidden="1" customHeight="1">
      <c r="A185" s="1010">
        <f t="shared" si="42"/>
        <v>45494</v>
      </c>
      <c r="B185" s="1011"/>
      <c r="C185" s="1012"/>
      <c r="D185" s="291"/>
      <c r="E185" s="291"/>
      <c r="F185" s="1008">
        <f t="shared" si="41"/>
        <v>45494</v>
      </c>
      <c r="G185" s="1008"/>
      <c r="H185" s="309"/>
      <c r="I185" s="248"/>
      <c r="J185" s="248"/>
      <c r="K185" s="248"/>
      <c r="L185" s="260"/>
    </row>
    <row r="186" spans="1:12" ht="12.75" hidden="1" customHeight="1">
      <c r="A186" s="1010">
        <f t="shared" si="42"/>
        <v>45495</v>
      </c>
      <c r="B186" s="1011"/>
      <c r="C186" s="1012"/>
      <c r="D186" s="291"/>
      <c r="E186" s="291"/>
      <c r="F186" s="1008">
        <f t="shared" si="41"/>
        <v>45495</v>
      </c>
      <c r="G186" s="1008"/>
      <c r="H186" s="309"/>
      <c r="I186" s="248"/>
      <c r="J186" s="248"/>
      <c r="K186" s="248"/>
      <c r="L186" s="260"/>
    </row>
    <row r="187" spans="1:12" ht="12.75" hidden="1" customHeight="1">
      <c r="A187" s="1010">
        <f t="shared" si="42"/>
        <v>45496</v>
      </c>
      <c r="B187" s="1011"/>
      <c r="C187" s="1012"/>
      <c r="D187" s="291"/>
      <c r="E187" s="291"/>
      <c r="F187" s="1008">
        <f t="shared" si="41"/>
        <v>45496</v>
      </c>
      <c r="G187" s="1008"/>
      <c r="H187" s="309"/>
      <c r="I187" s="248"/>
      <c r="J187" s="248"/>
      <c r="K187" s="248"/>
      <c r="L187" s="260"/>
    </row>
    <row r="188" spans="1:12" ht="12.75" hidden="1" customHeight="1">
      <c r="A188" s="1010">
        <f t="shared" si="42"/>
        <v>45497</v>
      </c>
      <c r="B188" s="1011"/>
      <c r="C188" s="1012"/>
      <c r="D188" s="291"/>
      <c r="E188" s="291"/>
      <c r="F188" s="1008">
        <f t="shared" si="41"/>
        <v>45497</v>
      </c>
      <c r="G188" s="1008"/>
      <c r="H188" s="309"/>
      <c r="I188" s="248"/>
      <c r="J188" s="248"/>
      <c r="K188" s="248"/>
      <c r="L188" s="260"/>
    </row>
    <row r="189" spans="1:12" ht="12.75" hidden="1" customHeight="1">
      <c r="A189" s="1010">
        <f t="shared" si="42"/>
        <v>45498</v>
      </c>
      <c r="B189" s="1011"/>
      <c r="C189" s="1012"/>
      <c r="D189" s="291"/>
      <c r="E189" s="291"/>
      <c r="F189" s="1008">
        <f t="shared" si="41"/>
        <v>45498</v>
      </c>
      <c r="G189" s="1008"/>
      <c r="H189" s="309"/>
      <c r="I189" s="248"/>
      <c r="J189" s="248"/>
      <c r="K189" s="248"/>
      <c r="L189" s="260"/>
    </row>
    <row r="190" spans="1:12" ht="12.75" hidden="1" customHeight="1">
      <c r="A190" s="1010">
        <f t="shared" si="42"/>
        <v>45499</v>
      </c>
      <c r="B190" s="1011"/>
      <c r="C190" s="1012"/>
      <c r="D190" s="291"/>
      <c r="E190" s="291"/>
      <c r="F190" s="1008">
        <f t="shared" si="41"/>
        <v>45499</v>
      </c>
      <c r="G190" s="1008"/>
      <c r="H190" s="309"/>
      <c r="I190" s="248"/>
      <c r="J190" s="248"/>
      <c r="K190" s="248"/>
      <c r="L190" s="260"/>
    </row>
    <row r="191" spans="1:12" ht="12.75" hidden="1" customHeight="1">
      <c r="A191" s="1010">
        <f t="shared" si="42"/>
        <v>45500</v>
      </c>
      <c r="B191" s="1011"/>
      <c r="C191" s="1012"/>
      <c r="D191" s="291"/>
      <c r="E191" s="291"/>
      <c r="F191" s="1008">
        <f t="shared" si="41"/>
        <v>45500</v>
      </c>
      <c r="G191" s="1008"/>
      <c r="H191" s="309"/>
      <c r="I191" s="248"/>
      <c r="J191" s="248"/>
      <c r="K191" s="248"/>
      <c r="L191" s="260"/>
    </row>
    <row r="192" spans="1:12" ht="12.75" hidden="1" customHeight="1">
      <c r="A192" s="1010">
        <f t="shared" si="42"/>
        <v>45501</v>
      </c>
      <c r="B192" s="1011"/>
      <c r="C192" s="1012"/>
      <c r="D192" s="291"/>
      <c r="E192" s="291"/>
      <c r="F192" s="1008">
        <f t="shared" si="41"/>
        <v>45501</v>
      </c>
      <c r="G192" s="1008"/>
      <c r="H192" s="248"/>
      <c r="I192" s="248"/>
      <c r="J192" s="248"/>
      <c r="K192" s="248"/>
      <c r="L192" s="260"/>
    </row>
    <row r="193" spans="1:12" ht="12.75" hidden="1" customHeight="1">
      <c r="A193" s="1010">
        <f t="shared" si="42"/>
        <v>45502</v>
      </c>
      <c r="B193" s="1011"/>
      <c r="C193" s="1012"/>
      <c r="D193" s="291"/>
      <c r="E193" s="291"/>
      <c r="F193" s="1008">
        <f t="shared" si="41"/>
        <v>45502</v>
      </c>
      <c r="G193" s="1008"/>
      <c r="H193" s="248"/>
      <c r="I193" s="248"/>
      <c r="J193" s="248"/>
      <c r="K193" s="248"/>
      <c r="L193" s="260"/>
    </row>
    <row r="194" spans="1:12" ht="12.75" hidden="1" customHeight="1">
      <c r="A194" s="1010">
        <f t="shared" si="42"/>
        <v>45503</v>
      </c>
      <c r="B194" s="1011"/>
      <c r="C194" s="1012"/>
      <c r="D194" s="291"/>
      <c r="E194" s="291"/>
      <c r="F194" s="1008">
        <f t="shared" si="41"/>
        <v>45503</v>
      </c>
      <c r="G194" s="1008"/>
      <c r="H194" s="248"/>
      <c r="I194" s="248"/>
      <c r="J194" s="248"/>
      <c r="K194" s="248"/>
      <c r="L194" s="260"/>
    </row>
    <row r="195" spans="1:12" ht="12.75" hidden="1" customHeight="1">
      <c r="A195" s="1010">
        <f t="shared" si="42"/>
        <v>45504</v>
      </c>
      <c r="B195" s="1011"/>
      <c r="C195" s="1012"/>
      <c r="D195" s="291"/>
      <c r="E195" s="291"/>
      <c r="F195" s="1008">
        <f t="shared" si="41"/>
        <v>45504</v>
      </c>
      <c r="G195" s="1008"/>
      <c r="H195" s="248"/>
      <c r="I195" s="248"/>
      <c r="J195" s="248"/>
      <c r="K195" s="248"/>
      <c r="L195" s="260"/>
    </row>
    <row r="196" spans="1:12" ht="12.75" hidden="1" customHeight="1">
      <c r="A196" s="1010">
        <f t="shared" si="42"/>
        <v>45505</v>
      </c>
      <c r="B196" s="1011"/>
      <c r="C196" s="1012"/>
      <c r="D196" s="291"/>
      <c r="E196" s="291"/>
      <c r="F196" s="1008">
        <f t="shared" si="41"/>
        <v>45505</v>
      </c>
      <c r="G196" s="1008"/>
      <c r="H196" s="248"/>
      <c r="I196" s="248"/>
      <c r="J196" s="248"/>
      <c r="K196" s="248"/>
      <c r="L196" s="260"/>
    </row>
    <row r="197" spans="1:12" ht="12.75" hidden="1" customHeight="1">
      <c r="A197" s="1010">
        <f t="shared" si="42"/>
        <v>45506</v>
      </c>
      <c r="B197" s="1011"/>
      <c r="C197" s="1012"/>
      <c r="D197" s="291"/>
      <c r="E197" s="291"/>
      <c r="F197" s="1008">
        <f t="shared" si="41"/>
        <v>45506</v>
      </c>
      <c r="G197" s="1008"/>
      <c r="H197" s="248"/>
      <c r="I197" s="248"/>
      <c r="J197" s="248"/>
      <c r="K197" s="248"/>
      <c r="L197" s="260"/>
    </row>
    <row r="198" spans="1:12" ht="12.75" hidden="1" customHeight="1">
      <c r="A198" s="1010">
        <f t="shared" si="42"/>
        <v>45507</v>
      </c>
      <c r="B198" s="1011"/>
      <c r="C198" s="1012"/>
      <c r="D198" s="291"/>
      <c r="E198" s="291"/>
      <c r="F198" s="1008">
        <f t="shared" si="41"/>
        <v>45507</v>
      </c>
      <c r="G198" s="1008"/>
      <c r="H198" s="248"/>
      <c r="I198" s="248"/>
      <c r="J198" s="248"/>
      <c r="K198" s="248"/>
      <c r="L198" s="260"/>
    </row>
    <row r="199" spans="1:12" ht="12.75" hidden="1" customHeight="1">
      <c r="A199" s="1010">
        <f t="shared" si="42"/>
        <v>45508</v>
      </c>
      <c r="B199" s="1011"/>
      <c r="C199" s="1012"/>
      <c r="D199" s="291"/>
      <c r="E199" s="291"/>
      <c r="F199" s="1008">
        <f t="shared" si="41"/>
        <v>45508</v>
      </c>
      <c r="G199" s="1008"/>
      <c r="H199" s="248"/>
      <c r="I199" s="248"/>
      <c r="J199" s="248"/>
      <c r="K199" s="248"/>
      <c r="L199" s="260"/>
    </row>
    <row r="200" spans="1:12" ht="12.75" hidden="1" customHeight="1">
      <c r="A200" s="1010">
        <f t="shared" si="42"/>
        <v>45509</v>
      </c>
      <c r="B200" s="1011"/>
      <c r="C200" s="1012"/>
      <c r="D200" s="291"/>
      <c r="E200" s="291"/>
      <c r="F200" s="1008">
        <f t="shared" si="41"/>
        <v>45509</v>
      </c>
      <c r="G200" s="1008"/>
      <c r="H200" s="248"/>
      <c r="I200" s="248"/>
      <c r="J200" s="248"/>
      <c r="K200" s="248"/>
      <c r="L200" s="260"/>
    </row>
    <row r="201" spans="1:12" ht="12.75" hidden="1" customHeight="1">
      <c r="A201" s="1010">
        <f t="shared" si="42"/>
        <v>45510</v>
      </c>
      <c r="B201" s="1011"/>
      <c r="C201" s="1012"/>
      <c r="D201" s="291"/>
      <c r="E201" s="291"/>
      <c r="F201" s="1008">
        <f t="shared" si="41"/>
        <v>45510</v>
      </c>
      <c r="G201" s="1008"/>
      <c r="H201" s="248"/>
      <c r="I201" s="248"/>
      <c r="J201" s="248"/>
      <c r="K201" s="248"/>
      <c r="L201" s="260"/>
    </row>
    <row r="202" spans="1:12" ht="12.75" hidden="1" customHeight="1">
      <c r="A202" s="1010">
        <f t="shared" si="42"/>
        <v>45511</v>
      </c>
      <c r="B202" s="1011"/>
      <c r="C202" s="1012"/>
      <c r="D202" s="291"/>
      <c r="E202" s="291"/>
      <c r="F202" s="1008">
        <f t="shared" si="41"/>
        <v>45511</v>
      </c>
      <c r="G202" s="1008"/>
      <c r="H202" s="248"/>
      <c r="I202" s="248"/>
      <c r="J202" s="248"/>
      <c r="K202" s="248"/>
      <c r="L202" s="260"/>
    </row>
    <row r="203" spans="1:12" ht="12.75" hidden="1" customHeight="1">
      <c r="A203" s="1010">
        <f t="shared" si="42"/>
        <v>45512</v>
      </c>
      <c r="B203" s="1011"/>
      <c r="C203" s="1012"/>
      <c r="D203" s="291"/>
      <c r="E203" s="291"/>
      <c r="F203" s="1008">
        <f t="shared" si="41"/>
        <v>45512</v>
      </c>
      <c r="G203" s="1008"/>
      <c r="H203" s="248"/>
      <c r="I203" s="248"/>
      <c r="J203" s="248"/>
      <c r="K203" s="248"/>
      <c r="L203" s="260"/>
    </row>
    <row r="204" spans="1:12" ht="12.75" hidden="1" customHeight="1">
      <c r="A204" s="1010">
        <f t="shared" si="42"/>
        <v>45513</v>
      </c>
      <c r="B204" s="1011"/>
      <c r="C204" s="1012"/>
      <c r="D204" s="291"/>
      <c r="E204" s="291"/>
      <c r="F204" s="1008">
        <f t="shared" si="41"/>
        <v>45513</v>
      </c>
      <c r="G204" s="1008"/>
      <c r="H204" s="248"/>
      <c r="I204" s="248"/>
      <c r="J204" s="248"/>
      <c r="K204" s="248"/>
      <c r="L204" s="260"/>
    </row>
    <row r="205" spans="1:12" ht="12.75" hidden="1" customHeight="1">
      <c r="A205" s="1010">
        <f t="shared" si="42"/>
        <v>45514</v>
      </c>
      <c r="B205" s="1011"/>
      <c r="C205" s="1012"/>
      <c r="D205" s="291"/>
      <c r="E205" s="291"/>
      <c r="F205" s="1008">
        <f t="shared" si="41"/>
        <v>45514</v>
      </c>
      <c r="G205" s="1008"/>
      <c r="H205" s="248"/>
      <c r="I205" s="248"/>
      <c r="J205" s="248"/>
      <c r="K205" s="248"/>
      <c r="L205" s="260"/>
    </row>
    <row r="206" spans="1:12" ht="12.75" hidden="1" customHeight="1">
      <c r="A206" s="1010">
        <f t="shared" si="42"/>
        <v>45515</v>
      </c>
      <c r="B206" s="1011"/>
      <c r="C206" s="1012"/>
      <c r="D206" s="291"/>
      <c r="E206" s="291"/>
      <c r="F206" s="1008">
        <f t="shared" si="41"/>
        <v>45515</v>
      </c>
      <c r="G206" s="1008"/>
      <c r="H206" s="248"/>
      <c r="I206" s="248"/>
      <c r="J206" s="248"/>
      <c r="K206" s="248"/>
      <c r="L206" s="260"/>
    </row>
    <row r="207" spans="1:12" ht="12.75" hidden="1" customHeight="1">
      <c r="A207" s="1010">
        <f t="shared" si="42"/>
        <v>45516</v>
      </c>
      <c r="B207" s="1011"/>
      <c r="C207" s="1012"/>
      <c r="D207" s="291"/>
      <c r="E207" s="291"/>
      <c r="F207" s="1008">
        <f t="shared" si="41"/>
        <v>45516</v>
      </c>
      <c r="G207" s="1008"/>
      <c r="H207" s="248"/>
      <c r="I207" s="248"/>
      <c r="J207" s="248"/>
      <c r="K207" s="248"/>
      <c r="L207" s="260"/>
    </row>
    <row r="208" spans="1:12" ht="12.75" hidden="1" customHeight="1">
      <c r="A208" s="1010">
        <f t="shared" si="42"/>
        <v>45517</v>
      </c>
      <c r="B208" s="1011"/>
      <c r="C208" s="1012"/>
      <c r="D208" s="291"/>
      <c r="E208" s="291"/>
      <c r="F208" s="1008">
        <f t="shared" si="41"/>
        <v>45517</v>
      </c>
      <c r="G208" s="1008"/>
      <c r="H208" s="248"/>
      <c r="I208" s="248"/>
      <c r="J208" s="248"/>
      <c r="K208" s="248"/>
      <c r="L208" s="260"/>
    </row>
    <row r="209" spans="1:13" ht="12.75" hidden="1" customHeight="1">
      <c r="A209" s="1010">
        <f t="shared" si="42"/>
        <v>45518</v>
      </c>
      <c r="B209" s="1011"/>
      <c r="C209" s="1012"/>
      <c r="D209" s="291"/>
      <c r="E209" s="291"/>
      <c r="F209" s="1008">
        <f t="shared" si="41"/>
        <v>45518</v>
      </c>
      <c r="G209" s="1008"/>
      <c r="H209" s="248"/>
      <c r="I209" s="248"/>
      <c r="J209" s="248"/>
      <c r="K209" s="248"/>
      <c r="L209" s="260"/>
    </row>
    <row r="210" spans="1:13" ht="12.75" hidden="1" customHeight="1">
      <c r="A210" s="1014">
        <f t="shared" si="42"/>
        <v>45519</v>
      </c>
      <c r="B210" s="1015"/>
      <c r="C210" s="1016"/>
      <c r="D210" s="298"/>
      <c r="E210" s="298"/>
      <c r="F210" s="1009">
        <f t="shared" si="41"/>
        <v>45519</v>
      </c>
      <c r="G210" s="1009"/>
      <c r="H210" s="248"/>
      <c r="I210" s="248"/>
      <c r="J210" s="248"/>
      <c r="K210" s="248"/>
      <c r="L210" s="260"/>
    </row>
    <row r="211" spans="1:13" ht="12.75" hidden="1" customHeight="1">
      <c r="A211" s="1010">
        <f t="shared" si="42"/>
        <v>45520</v>
      </c>
      <c r="B211" s="1011"/>
      <c r="C211" s="1012"/>
      <c r="D211" s="291"/>
      <c r="E211" s="291"/>
      <c r="F211" s="1008">
        <f t="shared" si="41"/>
        <v>45520</v>
      </c>
      <c r="G211" s="1008"/>
      <c r="H211" s="248"/>
      <c r="I211" s="248"/>
      <c r="J211" s="248"/>
      <c r="K211" s="248"/>
      <c r="L211" s="260"/>
    </row>
    <row r="212" spans="1:13" ht="12.75" hidden="1" customHeight="1">
      <c r="A212" s="1010">
        <f t="shared" si="42"/>
        <v>45521</v>
      </c>
      <c r="B212" s="1011"/>
      <c r="C212" s="1012"/>
      <c r="D212" s="291"/>
      <c r="E212" s="291"/>
      <c r="F212" s="1008">
        <f t="shared" si="41"/>
        <v>45521</v>
      </c>
      <c r="G212" s="1008"/>
      <c r="H212" s="248"/>
      <c r="I212" s="248"/>
      <c r="J212" s="248"/>
      <c r="K212" s="248"/>
      <c r="L212" s="260"/>
    </row>
    <row r="213" spans="1:13" ht="12.75" hidden="1" customHeight="1">
      <c r="A213" s="1010">
        <f t="shared" si="42"/>
        <v>45522</v>
      </c>
      <c r="B213" s="1011"/>
      <c r="C213" s="1012"/>
      <c r="D213" s="291"/>
      <c r="E213" s="291"/>
      <c r="F213" s="1008">
        <f t="shared" si="41"/>
        <v>45522</v>
      </c>
      <c r="G213" s="1008"/>
      <c r="H213" s="248"/>
      <c r="I213" s="248"/>
      <c r="J213" s="248"/>
      <c r="K213" s="248"/>
      <c r="L213" s="260"/>
    </row>
    <row r="214" spans="1:13" ht="12.75" hidden="1" customHeight="1">
      <c r="A214" s="1010">
        <f t="shared" si="42"/>
        <v>45523</v>
      </c>
      <c r="B214" s="1011"/>
      <c r="C214" s="1012"/>
      <c r="D214" s="291"/>
      <c r="E214" s="291"/>
      <c r="F214" s="1008">
        <f t="shared" si="41"/>
        <v>45523</v>
      </c>
      <c r="G214" s="1008"/>
      <c r="H214" s="248"/>
      <c r="I214" s="248"/>
      <c r="J214" s="248"/>
      <c r="K214" s="248"/>
      <c r="L214" s="260"/>
    </row>
    <row r="215" spans="1:13" ht="12.75" hidden="1" customHeight="1">
      <c r="A215" s="1010">
        <f t="shared" si="42"/>
        <v>45524</v>
      </c>
      <c r="B215" s="1011"/>
      <c r="C215" s="1012"/>
      <c r="D215" s="291"/>
      <c r="E215" s="291"/>
      <c r="F215" s="1008">
        <f t="shared" si="41"/>
        <v>45524</v>
      </c>
      <c r="G215" s="1008"/>
      <c r="H215" s="248"/>
      <c r="I215" s="248"/>
      <c r="J215" s="248"/>
      <c r="K215" s="248"/>
      <c r="L215" s="260"/>
    </row>
    <row r="216" spans="1:13" ht="12.75" hidden="1" customHeight="1">
      <c r="A216" s="1010">
        <f t="shared" si="42"/>
        <v>45525</v>
      </c>
      <c r="B216" s="1011"/>
      <c r="C216" s="1012"/>
      <c r="D216" s="291"/>
      <c r="E216" s="291"/>
      <c r="F216" s="1008">
        <f t="shared" si="41"/>
        <v>45525</v>
      </c>
      <c r="G216" s="1008"/>
      <c r="H216" s="248"/>
      <c r="I216" s="248"/>
      <c r="J216" s="248"/>
      <c r="K216" s="248"/>
      <c r="L216" s="260"/>
    </row>
    <row r="217" spans="1:13" ht="12.75" hidden="1" customHeight="1">
      <c r="A217" s="1010">
        <f t="shared" si="42"/>
        <v>45526</v>
      </c>
      <c r="B217" s="1011"/>
      <c r="C217" s="1012"/>
      <c r="D217" s="291"/>
      <c r="E217" s="291"/>
      <c r="F217" s="1008">
        <f t="shared" si="41"/>
        <v>45526</v>
      </c>
      <c r="G217" s="1008"/>
      <c r="H217" s="248"/>
      <c r="I217" s="248"/>
      <c r="J217" s="248"/>
      <c r="K217" s="248"/>
      <c r="L217" s="260"/>
    </row>
    <row r="218" spans="1:13" ht="12.75" hidden="1" customHeight="1">
      <c r="A218" s="1010">
        <f t="shared" si="42"/>
        <v>45527</v>
      </c>
      <c r="B218" s="1011"/>
      <c r="C218" s="1012"/>
      <c r="D218" s="291"/>
      <c r="E218" s="291"/>
      <c r="F218" s="1008">
        <f t="shared" si="41"/>
        <v>45527</v>
      </c>
      <c r="G218" s="1008"/>
      <c r="H218" s="248"/>
      <c r="I218" s="248"/>
      <c r="J218" s="248"/>
      <c r="K218" s="248"/>
      <c r="L218" s="260"/>
    </row>
    <row r="219" spans="1:13" ht="12.75" hidden="1" customHeight="1">
      <c r="A219" s="1010">
        <f t="shared" si="42"/>
        <v>45528</v>
      </c>
      <c r="B219" s="1011"/>
      <c r="C219" s="1012"/>
      <c r="D219" s="291"/>
      <c r="E219" s="291"/>
      <c r="F219" s="1008">
        <f t="shared" si="41"/>
        <v>45528</v>
      </c>
      <c r="G219" s="1008"/>
      <c r="H219" s="248"/>
      <c r="I219" s="248"/>
      <c r="J219" s="248"/>
      <c r="K219" s="248"/>
      <c r="L219" s="260"/>
    </row>
    <row r="220" spans="1:13" ht="12.75" hidden="1" customHeight="1">
      <c r="A220" s="1010">
        <f t="shared" si="42"/>
        <v>45529</v>
      </c>
      <c r="B220" s="1011"/>
      <c r="C220" s="1012"/>
      <c r="D220" s="291"/>
      <c r="E220" s="291"/>
      <c r="F220" s="1008">
        <f t="shared" ref="F220:F226" si="43">F219+1</f>
        <v>45529</v>
      </c>
      <c r="G220" s="1008"/>
      <c r="H220" s="248"/>
      <c r="I220" s="248"/>
      <c r="J220" s="248"/>
      <c r="K220" s="248"/>
      <c r="L220" s="260"/>
    </row>
    <row r="221" spans="1:13" ht="12.75" hidden="1" customHeight="1">
      <c r="A221" s="1010">
        <f t="shared" si="42"/>
        <v>45530</v>
      </c>
      <c r="B221" s="1011"/>
      <c r="C221" s="1012"/>
      <c r="D221" s="291"/>
      <c r="E221" s="291"/>
      <c r="F221" s="1008">
        <f t="shared" si="43"/>
        <v>45530</v>
      </c>
      <c r="G221" s="1008"/>
      <c r="H221" s="248"/>
      <c r="I221" s="248"/>
      <c r="J221" s="248"/>
      <c r="K221" s="248"/>
      <c r="L221" s="260"/>
    </row>
    <row r="222" spans="1:13" ht="12.75" hidden="1" customHeight="1">
      <c r="A222" s="1010">
        <f t="shared" si="42"/>
        <v>45531</v>
      </c>
      <c r="B222" s="1011"/>
      <c r="C222" s="1012"/>
      <c r="D222" s="291"/>
      <c r="E222" s="291"/>
      <c r="F222" s="1008">
        <f t="shared" si="43"/>
        <v>45531</v>
      </c>
      <c r="G222" s="1008"/>
      <c r="H222" s="248"/>
      <c r="I222" s="248"/>
      <c r="J222" s="248"/>
      <c r="K222" s="248"/>
      <c r="L222" s="260"/>
    </row>
    <row r="223" spans="1:13" ht="12.75" hidden="1" customHeight="1">
      <c r="A223" s="1010">
        <f t="shared" si="42"/>
        <v>45532</v>
      </c>
      <c r="B223" s="1011"/>
      <c r="C223" s="1012"/>
      <c r="D223" s="291"/>
      <c r="E223" s="291"/>
      <c r="F223" s="1008">
        <f t="shared" si="43"/>
        <v>45532</v>
      </c>
      <c r="G223" s="1008"/>
      <c r="H223" s="248"/>
      <c r="I223" s="248"/>
      <c r="J223" s="248"/>
      <c r="K223" s="248"/>
      <c r="L223" s="260"/>
    </row>
    <row r="224" spans="1:13" ht="12.75" hidden="1" customHeight="1">
      <c r="A224" s="1010">
        <f t="shared" si="42"/>
        <v>45533</v>
      </c>
      <c r="B224" s="1011"/>
      <c r="C224" s="1012"/>
      <c r="D224" s="291"/>
      <c r="E224" s="291"/>
      <c r="F224" s="1008">
        <f t="shared" si="43"/>
        <v>45533</v>
      </c>
      <c r="G224" s="1008"/>
      <c r="H224" s="310"/>
      <c r="I224" s="310"/>
      <c r="J224" s="310"/>
      <c r="K224" s="310"/>
      <c r="L224" s="287"/>
      <c r="M224" s="604"/>
    </row>
    <row r="225" spans="1:19" ht="12.75" hidden="1" customHeight="1">
      <c r="A225" s="1010">
        <f t="shared" si="42"/>
        <v>45534</v>
      </c>
      <c r="B225" s="1011"/>
      <c r="C225" s="1012"/>
      <c r="D225" s="291"/>
      <c r="E225" s="291"/>
      <c r="F225" s="1008">
        <f t="shared" si="43"/>
        <v>45534</v>
      </c>
      <c r="G225" s="1008"/>
      <c r="H225" s="310"/>
      <c r="I225" s="310"/>
      <c r="J225" s="310"/>
      <c r="K225" s="310"/>
      <c r="L225" s="287"/>
      <c r="M225" s="604"/>
    </row>
    <row r="226" spans="1:19" ht="12.75" hidden="1" customHeight="1">
      <c r="A226" s="1010">
        <f t="shared" si="42"/>
        <v>45535</v>
      </c>
      <c r="B226" s="1011"/>
      <c r="C226" s="1012"/>
      <c r="D226" s="291"/>
      <c r="E226" s="291"/>
      <c r="F226" s="1008">
        <f t="shared" si="43"/>
        <v>45535</v>
      </c>
      <c r="G226" s="1008"/>
      <c r="H226" s="310"/>
      <c r="I226" s="310"/>
      <c r="J226" s="310"/>
      <c r="K226" s="310"/>
      <c r="L226" s="287"/>
      <c r="M226" s="604"/>
    </row>
    <row r="227" spans="1:19" ht="12.75" hidden="1" customHeight="1">
      <c r="A227" s="1010">
        <f t="shared" si="42"/>
        <v>45292</v>
      </c>
      <c r="B227" s="1011"/>
      <c r="C227" s="1012"/>
      <c r="D227" s="287"/>
      <c r="E227" s="287"/>
      <c r="F227" s="1017">
        <f>$D$88</f>
        <v>45292</v>
      </c>
      <c r="G227" s="1017"/>
      <c r="H227" s="296" t="s">
        <v>912</v>
      </c>
      <c r="I227" s="295"/>
      <c r="J227" s="295"/>
      <c r="K227" s="295"/>
      <c r="L227" s="295"/>
      <c r="M227" s="296"/>
    </row>
    <row r="228" spans="1:19" ht="12.75" hidden="1" customHeight="1">
      <c r="A228" s="1010">
        <f t="shared" si="42"/>
        <v>45292</v>
      </c>
      <c r="B228" s="1011"/>
      <c r="C228" s="1012"/>
      <c r="D228" s="287"/>
      <c r="E228" s="287"/>
      <c r="F228" s="1017">
        <f>$D$89</f>
        <v>45292</v>
      </c>
      <c r="G228" s="1017"/>
      <c r="H228" s="296" t="s">
        <v>912</v>
      </c>
      <c r="I228" s="295"/>
      <c r="J228" s="295"/>
      <c r="K228" s="295"/>
      <c r="L228" s="295"/>
      <c r="M228" s="296"/>
    </row>
    <row r="229" spans="1:19" ht="12.75" hidden="1" customHeight="1">
      <c r="A229" s="1010">
        <f t="shared" si="42"/>
        <v>45292</v>
      </c>
      <c r="B229" s="1011"/>
      <c r="C229" s="1012"/>
      <c r="D229" s="287"/>
      <c r="E229" s="287"/>
      <c r="F229" s="1017">
        <f>$D$90</f>
        <v>45292</v>
      </c>
      <c r="G229" s="1017"/>
      <c r="H229" s="296" t="s">
        <v>912</v>
      </c>
      <c r="I229" s="295"/>
      <c r="J229" s="295"/>
      <c r="K229" s="295"/>
      <c r="L229" s="295"/>
      <c r="M229" s="296"/>
    </row>
    <row r="230" spans="1:19" ht="12.75" hidden="1" customHeight="1">
      <c r="A230" s="1010">
        <f>F230</f>
        <v>45292</v>
      </c>
      <c r="B230" s="1011"/>
      <c r="C230" s="1012"/>
      <c r="D230" s="287"/>
      <c r="E230" s="287"/>
      <c r="F230" s="1017">
        <f>$D$91</f>
        <v>45292</v>
      </c>
      <c r="G230" s="1017"/>
      <c r="H230" s="296" t="s">
        <v>912</v>
      </c>
      <c r="I230" s="295"/>
      <c r="J230" s="295"/>
      <c r="K230" s="295"/>
      <c r="L230" s="295"/>
      <c r="M230" s="296"/>
    </row>
    <row r="231" spans="1:19" ht="12.75" hidden="1" customHeight="1">
      <c r="A231" s="1010">
        <f>F231</f>
        <v>45292</v>
      </c>
      <c r="B231" s="1011"/>
      <c r="C231" s="1012"/>
      <c r="D231" s="287"/>
      <c r="E231" s="287"/>
      <c r="F231" s="1017">
        <f>$D$92</f>
        <v>45292</v>
      </c>
      <c r="G231" s="1017"/>
      <c r="H231" s="296" t="s">
        <v>912</v>
      </c>
      <c r="I231" s="295"/>
      <c r="J231" s="295"/>
      <c r="K231" s="295"/>
      <c r="L231" s="295"/>
      <c r="M231" s="296"/>
    </row>
    <row r="232" spans="1:19" ht="12.75" customHeight="1">
      <c r="S232" s="260">
        <v>25</v>
      </c>
    </row>
  </sheetData>
  <sheetProtection formatCells="0"/>
  <customSheetViews>
    <customSheetView guid="{93FD35E9-1E2C-4BB9-BB5F-2E73C17EC4AF}" showGridLines="0" showRowCol="0" outlineSymbols="0" zeroValues="0" fitToPage="1" hiddenColumns="1">
      <selection activeCell="BP90" sqref="BP90"/>
      <pageMargins left="0.75" right="0.75" top="1" bottom="1" header="0" footer="0"/>
      <pageSetup paperSize="9" scale="93" orientation="portrait" r:id="rId1"/>
      <headerFooter alignWithMargins="0"/>
    </customSheetView>
  </customSheetViews>
  <mergeCells count="462">
    <mergeCell ref="A101:C101"/>
    <mergeCell ref="A102:C102"/>
    <mergeCell ref="A103:C103"/>
    <mergeCell ref="A104:C104"/>
    <mergeCell ref="A105:C105"/>
    <mergeCell ref="E97:I97"/>
    <mergeCell ref="E94:I94"/>
    <mergeCell ref="AJ58:AK58"/>
    <mergeCell ref="M10:M14"/>
    <mergeCell ref="M16:M20"/>
    <mergeCell ref="M22:M26"/>
    <mergeCell ref="Z10:Z14"/>
    <mergeCell ref="Z16:Z20"/>
    <mergeCell ref="Z22:Z26"/>
    <mergeCell ref="Z28:Z32"/>
    <mergeCell ref="M28:M32"/>
    <mergeCell ref="M34:M38"/>
    <mergeCell ref="Z34:Z38"/>
    <mergeCell ref="M40:M44"/>
    <mergeCell ref="Z40:Z44"/>
    <mergeCell ref="G48:N48"/>
    <mergeCell ref="K95:M95"/>
    <mergeCell ref="K98:M98"/>
    <mergeCell ref="F101:G101"/>
    <mergeCell ref="F102:G102"/>
    <mergeCell ref="F103:G103"/>
    <mergeCell ref="F104:G104"/>
    <mergeCell ref="F105:G105"/>
    <mergeCell ref="F106:G106"/>
    <mergeCell ref="F107:G107"/>
    <mergeCell ref="A106:C106"/>
    <mergeCell ref="A107:C107"/>
    <mergeCell ref="A108:C108"/>
    <mergeCell ref="F109:G109"/>
    <mergeCell ref="F110:G110"/>
    <mergeCell ref="F111:G111"/>
    <mergeCell ref="F112:G112"/>
    <mergeCell ref="F113:G113"/>
    <mergeCell ref="F114:G114"/>
    <mergeCell ref="F108:G108"/>
    <mergeCell ref="F161:G161"/>
    <mergeCell ref="F162:G162"/>
    <mergeCell ref="F115:G115"/>
    <mergeCell ref="F118:G118"/>
    <mergeCell ref="F139:G139"/>
    <mergeCell ref="F152:G152"/>
    <mergeCell ref="F116:G116"/>
    <mergeCell ref="F117:G117"/>
    <mergeCell ref="F120:G120"/>
    <mergeCell ref="F121:G121"/>
    <mergeCell ref="F122:G122"/>
    <mergeCell ref="F123:G123"/>
    <mergeCell ref="F124:G124"/>
    <mergeCell ref="F125:G125"/>
    <mergeCell ref="F126:G126"/>
    <mergeCell ref="F127:G127"/>
    <mergeCell ref="F128:G128"/>
    <mergeCell ref="A109:C109"/>
    <mergeCell ref="A110:C110"/>
    <mergeCell ref="A111:C111"/>
    <mergeCell ref="A112:C112"/>
    <mergeCell ref="A113:C113"/>
    <mergeCell ref="A114:C114"/>
    <mergeCell ref="A115:C115"/>
    <mergeCell ref="A116:C116"/>
    <mergeCell ref="A117:C117"/>
    <mergeCell ref="A118:C118"/>
    <mergeCell ref="A120:C120"/>
    <mergeCell ref="A121:C121"/>
    <mergeCell ref="A122:C122"/>
    <mergeCell ref="A123:C123"/>
    <mergeCell ref="A124:C124"/>
    <mergeCell ref="A125:C125"/>
    <mergeCell ref="A126:C126"/>
    <mergeCell ref="A119:C119"/>
    <mergeCell ref="A127:C127"/>
    <mergeCell ref="A128:C128"/>
    <mergeCell ref="A129:C129"/>
    <mergeCell ref="A130:C130"/>
    <mergeCell ref="A131:C131"/>
    <mergeCell ref="A132:C132"/>
    <mergeCell ref="A133:C133"/>
    <mergeCell ref="A134:C134"/>
    <mergeCell ref="A135:C135"/>
    <mergeCell ref="F129:G129"/>
    <mergeCell ref="F130:G130"/>
    <mergeCell ref="F133:G133"/>
    <mergeCell ref="F134:G134"/>
    <mergeCell ref="F135:G135"/>
    <mergeCell ref="F136:G136"/>
    <mergeCell ref="F137:G137"/>
    <mergeCell ref="F140:G140"/>
    <mergeCell ref="F141:G141"/>
    <mergeCell ref="F131:G131"/>
    <mergeCell ref="F132:G132"/>
    <mergeCell ref="F119:G119"/>
    <mergeCell ref="A136:C136"/>
    <mergeCell ref="A137:C137"/>
    <mergeCell ref="A139:C139"/>
    <mergeCell ref="F181:G181"/>
    <mergeCell ref="F182:G182"/>
    <mergeCell ref="F142:G142"/>
    <mergeCell ref="F143:G143"/>
    <mergeCell ref="F144:G144"/>
    <mergeCell ref="F145:G145"/>
    <mergeCell ref="F146:G146"/>
    <mergeCell ref="F147:G147"/>
    <mergeCell ref="F148:G148"/>
    <mergeCell ref="F149:G149"/>
    <mergeCell ref="F150:G150"/>
    <mergeCell ref="A138:C138"/>
    <mergeCell ref="A153:C153"/>
    <mergeCell ref="F165:G165"/>
    <mergeCell ref="F166:G166"/>
    <mergeCell ref="F151:G151"/>
    <mergeCell ref="F179:G179"/>
    <mergeCell ref="F138:G138"/>
    <mergeCell ref="F153:G153"/>
    <mergeCell ref="F167:G167"/>
    <mergeCell ref="F189:G189"/>
    <mergeCell ref="F190:G190"/>
    <mergeCell ref="F191:G191"/>
    <mergeCell ref="F192:G192"/>
    <mergeCell ref="F169:G169"/>
    <mergeCell ref="F170:G170"/>
    <mergeCell ref="F171:G171"/>
    <mergeCell ref="F172:G172"/>
    <mergeCell ref="F173:G173"/>
    <mergeCell ref="F174:G174"/>
    <mergeCell ref="F175:G175"/>
    <mergeCell ref="F176:G176"/>
    <mergeCell ref="F177:G177"/>
    <mergeCell ref="F183:G183"/>
    <mergeCell ref="F184:G184"/>
    <mergeCell ref="F185:G185"/>
    <mergeCell ref="F186:G186"/>
    <mergeCell ref="F180:G180"/>
    <mergeCell ref="F187:G187"/>
    <mergeCell ref="F188:G188"/>
    <mergeCell ref="A140:C140"/>
    <mergeCell ref="A141:C141"/>
    <mergeCell ref="A142:C142"/>
    <mergeCell ref="A143:C143"/>
    <mergeCell ref="A144:C144"/>
    <mergeCell ref="A145:C145"/>
    <mergeCell ref="A146:C146"/>
    <mergeCell ref="A147:C147"/>
    <mergeCell ref="A148:C148"/>
    <mergeCell ref="A186:C186"/>
    <mergeCell ref="F178:G178"/>
    <mergeCell ref="A152:C152"/>
    <mergeCell ref="A154:C154"/>
    <mergeCell ref="A155:C155"/>
    <mergeCell ref="A156:C156"/>
    <mergeCell ref="A157:C157"/>
    <mergeCell ref="A158:C158"/>
    <mergeCell ref="A159:C159"/>
    <mergeCell ref="A160:C160"/>
    <mergeCell ref="A161:C161"/>
    <mergeCell ref="A162:C162"/>
    <mergeCell ref="F163:G163"/>
    <mergeCell ref="F164:G164"/>
    <mergeCell ref="A163:C163"/>
    <mergeCell ref="A164:C164"/>
    <mergeCell ref="F154:G154"/>
    <mergeCell ref="F155:G155"/>
    <mergeCell ref="F156:G156"/>
    <mergeCell ref="F157:G157"/>
    <mergeCell ref="F158:G158"/>
    <mergeCell ref="F159:G159"/>
    <mergeCell ref="F160:G160"/>
    <mergeCell ref="F168:G168"/>
    <mergeCell ref="F226:G226"/>
    <mergeCell ref="A165:C165"/>
    <mergeCell ref="A166:C166"/>
    <mergeCell ref="A167:C167"/>
    <mergeCell ref="A168:C168"/>
    <mergeCell ref="A169:C169"/>
    <mergeCell ref="A170:C170"/>
    <mergeCell ref="A171:C171"/>
    <mergeCell ref="A172:C172"/>
    <mergeCell ref="A173:C173"/>
    <mergeCell ref="A174:C174"/>
    <mergeCell ref="A175:C175"/>
    <mergeCell ref="A176:C176"/>
    <mergeCell ref="A177:C177"/>
    <mergeCell ref="A178:C178"/>
    <mergeCell ref="A180:C180"/>
    <mergeCell ref="A181:C181"/>
    <mergeCell ref="A182:C182"/>
    <mergeCell ref="F211:G211"/>
    <mergeCell ref="F212:G212"/>
    <mergeCell ref="F213:G213"/>
    <mergeCell ref="F214:G214"/>
    <mergeCell ref="F215:G215"/>
    <mergeCell ref="F216:G216"/>
    <mergeCell ref="AI78:AJ78"/>
    <mergeCell ref="AI79:AJ79"/>
    <mergeCell ref="A227:C227"/>
    <mergeCell ref="A228:C228"/>
    <mergeCell ref="A229:C229"/>
    <mergeCell ref="A230:C230"/>
    <mergeCell ref="A231:C231"/>
    <mergeCell ref="F227:G227"/>
    <mergeCell ref="F228:G228"/>
    <mergeCell ref="F229:G229"/>
    <mergeCell ref="F230:G230"/>
    <mergeCell ref="F231:G231"/>
    <mergeCell ref="A223:C223"/>
    <mergeCell ref="A224:C224"/>
    <mergeCell ref="A225:C225"/>
    <mergeCell ref="A226:C226"/>
    <mergeCell ref="A214:C214"/>
    <mergeCell ref="A215:C215"/>
    <mergeCell ref="A216:C216"/>
    <mergeCell ref="A217:C217"/>
    <mergeCell ref="A218:C218"/>
    <mergeCell ref="A219:C219"/>
    <mergeCell ref="A220:C220"/>
    <mergeCell ref="D90:E90"/>
    <mergeCell ref="AI73:AJ73"/>
    <mergeCell ref="AI74:AJ74"/>
    <mergeCell ref="AI75:AJ75"/>
    <mergeCell ref="AI76:AJ76"/>
    <mergeCell ref="AI77:AJ77"/>
    <mergeCell ref="A221:C221"/>
    <mergeCell ref="A222:C222"/>
    <mergeCell ref="A205:C205"/>
    <mergeCell ref="A206:C206"/>
    <mergeCell ref="A207:C207"/>
    <mergeCell ref="A208:C208"/>
    <mergeCell ref="A209:C209"/>
    <mergeCell ref="A210:C210"/>
    <mergeCell ref="A211:C211"/>
    <mergeCell ref="A212:C212"/>
    <mergeCell ref="A213:C213"/>
    <mergeCell ref="A196:C196"/>
    <mergeCell ref="A197:C197"/>
    <mergeCell ref="A198:C198"/>
    <mergeCell ref="A199:C199"/>
    <mergeCell ref="A200:C200"/>
    <mergeCell ref="A201:C201"/>
    <mergeCell ref="A202:C202"/>
    <mergeCell ref="A203:C203"/>
    <mergeCell ref="F193:G193"/>
    <mergeCell ref="F194:G194"/>
    <mergeCell ref="F195:G195"/>
    <mergeCell ref="D91:E91"/>
    <mergeCell ref="D92:E92"/>
    <mergeCell ref="D88:E88"/>
    <mergeCell ref="D89:E89"/>
    <mergeCell ref="A204:C204"/>
    <mergeCell ref="A187:C187"/>
    <mergeCell ref="A188:C188"/>
    <mergeCell ref="A189:C189"/>
    <mergeCell ref="A190:C190"/>
    <mergeCell ref="A191:C191"/>
    <mergeCell ref="A192:C192"/>
    <mergeCell ref="A193:C193"/>
    <mergeCell ref="A194:C194"/>
    <mergeCell ref="A195:C195"/>
    <mergeCell ref="A149:C149"/>
    <mergeCell ref="A150:C150"/>
    <mergeCell ref="A151:C151"/>
    <mergeCell ref="A179:C179"/>
    <mergeCell ref="A183:C183"/>
    <mergeCell ref="A184:C184"/>
    <mergeCell ref="A185:C185"/>
    <mergeCell ref="F222:G222"/>
    <mergeCell ref="F223:G223"/>
    <mergeCell ref="F224:G224"/>
    <mergeCell ref="F225:G225"/>
    <mergeCell ref="F196:G196"/>
    <mergeCell ref="F197:G197"/>
    <mergeCell ref="F198:G198"/>
    <mergeCell ref="F199:G199"/>
    <mergeCell ref="F200:G200"/>
    <mergeCell ref="F201:G201"/>
    <mergeCell ref="F220:G220"/>
    <mergeCell ref="F221:G221"/>
    <mergeCell ref="F217:G217"/>
    <mergeCell ref="F218:G218"/>
    <mergeCell ref="F219:G219"/>
    <mergeCell ref="F202:G202"/>
    <mergeCell ref="F203:G203"/>
    <mergeCell ref="F204:G204"/>
    <mergeCell ref="F205:G205"/>
    <mergeCell ref="F206:G206"/>
    <mergeCell ref="F207:G207"/>
    <mergeCell ref="F208:G208"/>
    <mergeCell ref="F209:G209"/>
    <mergeCell ref="F210:G210"/>
    <mergeCell ref="D87:E87"/>
    <mergeCell ref="D72:E72"/>
    <mergeCell ref="D81:E81"/>
    <mergeCell ref="D70:E70"/>
    <mergeCell ref="D82:E82"/>
    <mergeCell ref="D83:E83"/>
    <mergeCell ref="D71:E71"/>
    <mergeCell ref="D85:E85"/>
    <mergeCell ref="B34:B39"/>
    <mergeCell ref="C59:E59"/>
    <mergeCell ref="C56:F56"/>
    <mergeCell ref="C58:E58"/>
    <mergeCell ref="D76:E76"/>
    <mergeCell ref="D77:E77"/>
    <mergeCell ref="D68:E68"/>
    <mergeCell ref="D69:E69"/>
    <mergeCell ref="D84:E84"/>
    <mergeCell ref="D80:E80"/>
    <mergeCell ref="D86:E86"/>
    <mergeCell ref="D78:E78"/>
    <mergeCell ref="D73:E73"/>
    <mergeCell ref="D74:E74"/>
    <mergeCell ref="D75:E75"/>
    <mergeCell ref="D79:E79"/>
    <mergeCell ref="AQ50:AR50"/>
    <mergeCell ref="AN51:AO51"/>
    <mergeCell ref="AQ51:AR51"/>
    <mergeCell ref="AL57:AM57"/>
    <mergeCell ref="AC51:AD51"/>
    <mergeCell ref="AJ57:AK57"/>
    <mergeCell ref="AH17:AI17"/>
    <mergeCell ref="AF12:AH12"/>
    <mergeCell ref="AN14:AP14"/>
    <mergeCell ref="AH35:AI35"/>
    <mergeCell ref="AE2:AJ2"/>
    <mergeCell ref="AN11:AP11"/>
    <mergeCell ref="AN13:AP13"/>
    <mergeCell ref="AK5:AN5"/>
    <mergeCell ref="AF10:AH10"/>
    <mergeCell ref="AF7:AH7"/>
    <mergeCell ref="AE4:AF4"/>
    <mergeCell ref="AH4:AI4"/>
    <mergeCell ref="AG34:AI34"/>
    <mergeCell ref="AL14:AM14"/>
    <mergeCell ref="O6:Y6"/>
    <mergeCell ref="B10:B15"/>
    <mergeCell ref="B16:B21"/>
    <mergeCell ref="B22:B27"/>
    <mergeCell ref="AK6:AN6"/>
    <mergeCell ref="AK9:AL9"/>
    <mergeCell ref="AK10:AL10"/>
    <mergeCell ref="AK12:AL12"/>
    <mergeCell ref="AA11:AB11"/>
    <mergeCell ref="AF11:AH11"/>
    <mergeCell ref="AK17:AN17"/>
    <mergeCell ref="AF15:AH15"/>
    <mergeCell ref="AA16:AB16"/>
    <mergeCell ref="AF16:AH16"/>
    <mergeCell ref="AI16:AR16"/>
    <mergeCell ref="AA13:AB13"/>
    <mergeCell ref="AF13:AH13"/>
    <mergeCell ref="AA14:AB14"/>
    <mergeCell ref="AF14:AH14"/>
    <mergeCell ref="AA17:AB17"/>
    <mergeCell ref="AO9:AQ9"/>
    <mergeCell ref="AK8:AL8"/>
    <mergeCell ref="AN12:AP12"/>
    <mergeCell ref="AE6:AG6"/>
    <mergeCell ref="G62:I62"/>
    <mergeCell ref="H58:K58"/>
    <mergeCell ref="S62:T62"/>
    <mergeCell ref="L59:O59"/>
    <mergeCell ref="L58:P58"/>
    <mergeCell ref="W1:Y1"/>
    <mergeCell ref="Q56:S56"/>
    <mergeCell ref="N57:O57"/>
    <mergeCell ref="AA10:AB10"/>
    <mergeCell ref="AA7:AB7"/>
    <mergeCell ref="AA2:AC2"/>
    <mergeCell ref="V5:W5"/>
    <mergeCell ref="AA40:AC40"/>
    <mergeCell ref="D2:U2"/>
    <mergeCell ref="W2:Y2"/>
    <mergeCell ref="D4:Q4"/>
    <mergeCell ref="R4:U4"/>
    <mergeCell ref="W4:Y4"/>
    <mergeCell ref="AA6:AC6"/>
    <mergeCell ref="AA4:AC4"/>
    <mergeCell ref="AA37:AC37"/>
    <mergeCell ref="AA34:AC34"/>
    <mergeCell ref="AA36:AC36"/>
    <mergeCell ref="AA39:AC39"/>
    <mergeCell ref="AA5:AB5"/>
    <mergeCell ref="AC5:AD5"/>
    <mergeCell ref="H59:K59"/>
    <mergeCell ref="AI6:AJ6"/>
    <mergeCell ref="F53:H53"/>
    <mergeCell ref="I53:K53"/>
    <mergeCell ref="L53:O53"/>
    <mergeCell ref="P53:R53"/>
    <mergeCell ref="AA24:AD24"/>
    <mergeCell ref="AJ42:AK42"/>
    <mergeCell ref="AA38:AC38"/>
    <mergeCell ref="O28:O33"/>
    <mergeCell ref="O34:O39"/>
    <mergeCell ref="AA33:AC33"/>
    <mergeCell ref="AA28:AD28"/>
    <mergeCell ref="AE40:AF40"/>
    <mergeCell ref="R9:T9"/>
    <mergeCell ref="AA9:AB9"/>
    <mergeCell ref="AF9:AH9"/>
    <mergeCell ref="AI9:AJ9"/>
    <mergeCell ref="AA8:AB8"/>
    <mergeCell ref="AF8:AH8"/>
    <mergeCell ref="B6:L6"/>
    <mergeCell ref="AA12:AB12"/>
    <mergeCell ref="AE59:AF59"/>
    <mergeCell ref="AA21:AD21"/>
    <mergeCell ref="AA22:AD22"/>
    <mergeCell ref="AA23:AD23"/>
    <mergeCell ref="AA18:AB18"/>
    <mergeCell ref="AA27:AD27"/>
    <mergeCell ref="O40:O45"/>
    <mergeCell ref="R59:U59"/>
    <mergeCell ref="R58:V58"/>
    <mergeCell ref="O10:O15"/>
    <mergeCell ref="O16:O21"/>
    <mergeCell ref="O22:O27"/>
    <mergeCell ref="AA57:AC57"/>
    <mergeCell ref="AA55:AC55"/>
    <mergeCell ref="AA15:AB15"/>
    <mergeCell ref="B40:B45"/>
    <mergeCell ref="C55:F55"/>
    <mergeCell ref="Q55:S55"/>
    <mergeCell ref="L55:O55"/>
    <mergeCell ref="AA49:AB49"/>
    <mergeCell ref="AA29:AB29"/>
    <mergeCell ref="C53:E53"/>
    <mergeCell ref="C52:E52"/>
    <mergeCell ref="H55:J55"/>
    <mergeCell ref="U55:X56"/>
    <mergeCell ref="H56:J56"/>
    <mergeCell ref="L56:O56"/>
    <mergeCell ref="AA42:AC42"/>
    <mergeCell ref="AC50:AD50"/>
    <mergeCell ref="B28:B33"/>
    <mergeCell ref="Q65:R65"/>
    <mergeCell ref="AI71:AJ71"/>
    <mergeCell ref="AL71:AM71"/>
    <mergeCell ref="AQ58:AS58"/>
    <mergeCell ref="AT58:AU58"/>
    <mergeCell ref="AE55:AF55"/>
    <mergeCell ref="AE43:AF43"/>
    <mergeCell ref="AA45:AC45"/>
    <mergeCell ref="AA43:AC43"/>
    <mergeCell ref="AE46:AF46"/>
    <mergeCell ref="AA46:AC46"/>
    <mergeCell ref="AA54:AC54"/>
    <mergeCell ref="AA53:AC53"/>
    <mergeCell ref="AE54:AF54"/>
    <mergeCell ref="AJ64:AK64"/>
    <mergeCell ref="AJ65:AK65"/>
    <mergeCell ref="AG69:AH69"/>
    <mergeCell ref="AG62:AH62"/>
    <mergeCell ref="AG64:AH64"/>
    <mergeCell ref="AG65:AH65"/>
    <mergeCell ref="AG68:AH68"/>
    <mergeCell ref="AG61:AH61"/>
    <mergeCell ref="AA62:AB62"/>
    <mergeCell ref="AE58:AF58"/>
  </mergeCells>
  <phoneticPr fontId="24" type="noConversion"/>
  <conditionalFormatting sqref="J28:J31">
    <cfRule type="cellIs" dxfId="214" priority="16" stopIfTrue="1" operator="equal">
      <formula>$AD$32</formula>
    </cfRule>
    <cfRule type="cellIs" dxfId="213" priority="18" stopIfTrue="1" operator="equal">
      <formula>$AK$37</formula>
    </cfRule>
  </conditionalFormatting>
  <conditionalFormatting sqref="I10:J10 D11:H11 V40:W40 Q41:U41">
    <cfRule type="cellIs" dxfId="212" priority="10" stopIfTrue="1" operator="equal">
      <formula>6</formula>
    </cfRule>
  </conditionalFormatting>
  <conditionalFormatting sqref="D10:J10 Q34:W34">
    <cfRule type="cellIs" dxfId="211" priority="22" stopIfTrue="1" operator="equal">
      <formula>1</formula>
    </cfRule>
  </conditionalFormatting>
  <conditionalFormatting sqref="Q41:W41">
    <cfRule type="cellIs" dxfId="210" priority="11" stopIfTrue="1" operator="equal">
      <formula>8</formula>
    </cfRule>
  </conditionalFormatting>
  <conditionalFormatting sqref="J27">
    <cfRule type="cellIs" dxfId="209" priority="28" stopIfTrue="1" operator="equal">
      <formula>$AK$36</formula>
    </cfRule>
    <cfRule type="cellIs" dxfId="208" priority="29" stopIfTrue="1" operator="equal">
      <formula>19</formula>
    </cfRule>
    <cfRule type="cellIs" dxfId="207" priority="30" stopIfTrue="1" operator="equal">
      <formula>$AL$36</formula>
    </cfRule>
  </conditionalFormatting>
  <conditionalFormatting sqref="T43:W43 Q44:S44">
    <cfRule type="cellIs" dxfId="206" priority="12" stopIfTrue="1" operator="equal">
      <formula>25</formula>
    </cfRule>
  </conditionalFormatting>
  <conditionalFormatting sqref="U29:W29 Q30:T30">
    <cfRule type="cellIs" dxfId="205" priority="33" stopIfTrue="1" operator="equal">
      <formula>12</formula>
    </cfRule>
  </conditionalFormatting>
  <conditionalFormatting sqref="Q23:W23">
    <cfRule type="cellIs" dxfId="204" priority="35" stopIfTrue="1" operator="equal">
      <formula>9</formula>
    </cfRule>
  </conditionalFormatting>
  <conditionalFormatting sqref="T35:W35 Q36:S36">
    <cfRule type="cellIs" dxfId="203" priority="36" stopIfTrue="1" operator="equal">
      <formula>11</formula>
    </cfRule>
  </conditionalFormatting>
  <conditionalFormatting sqref="F16:F20">
    <cfRule type="cellIs" dxfId="202" priority="41" stopIfTrue="1" operator="equal">
      <formula>$AD$29</formula>
    </cfRule>
  </conditionalFormatting>
  <conditionalFormatting sqref="H25:H26">
    <cfRule type="cellIs" dxfId="201" priority="45" stopIfTrue="1" operator="equal">
      <formula>$AL$36</formula>
    </cfRule>
  </conditionalFormatting>
  <conditionalFormatting sqref="H28:H31">
    <cfRule type="cellIs" dxfId="200" priority="21" stopIfTrue="1" operator="equal">
      <formula>$AL$37</formula>
    </cfRule>
  </conditionalFormatting>
  <conditionalFormatting sqref="H24:J24 D25:G25">
    <cfRule type="cellIs" dxfId="199" priority="17" stopIfTrue="1" operator="equal">
      <formula>19</formula>
    </cfRule>
  </conditionalFormatting>
  <conditionalFormatting sqref="J40:J42 G40:G44">
    <cfRule type="cellIs" dxfId="198" priority="54" stopIfTrue="1" operator="equal">
      <formula>$V$63</formula>
    </cfRule>
  </conditionalFormatting>
  <conditionalFormatting sqref="G34:G38">
    <cfRule type="cellIs" dxfId="197" priority="74" stopIfTrue="1" operator="equal">
      <formula>$W$59</formula>
    </cfRule>
  </conditionalFormatting>
  <conditionalFormatting sqref="Q17:W19">
    <cfRule type="cellIs" dxfId="196" priority="66" stopIfTrue="1" operator="between">
      <formula>$AG$65</formula>
      <formula>$AG$67</formula>
    </cfRule>
  </conditionalFormatting>
  <conditionalFormatting sqref="U13:W13 Q14:U14">
    <cfRule type="cellIs" dxfId="195" priority="67" stopIfTrue="1" operator="equal">
      <formula>26</formula>
    </cfRule>
  </conditionalFormatting>
  <conditionalFormatting sqref="D34:D35 M57">
    <cfRule type="cellIs" dxfId="194" priority="58" stopIfTrue="1" operator="equal">
      <formula>$AB$41</formula>
    </cfRule>
  </conditionalFormatting>
  <conditionalFormatting sqref="E32:J32 D33">
    <cfRule type="cellIs" dxfId="193" priority="49" stopIfTrue="1" operator="equal">
      <formula>$AC$50</formula>
    </cfRule>
  </conditionalFormatting>
  <conditionalFormatting sqref="D28:D32">
    <cfRule type="cellIs" dxfId="192" priority="78" stopIfTrue="1" operator="equal">
      <formula>$AB$41</formula>
    </cfRule>
    <cfRule type="cellIs" dxfId="191" priority="79" stopIfTrue="1" operator="equal">
      <formula>$AJ$37</formula>
    </cfRule>
  </conditionalFormatting>
  <conditionalFormatting sqref="D27">
    <cfRule type="cellIs" dxfId="190" priority="81" stopIfTrue="1" operator="equal">
      <formula>$AB$41</formula>
    </cfRule>
    <cfRule type="cellIs" dxfId="189" priority="82" stopIfTrue="1" operator="equal">
      <formula>$AJ$36</formula>
    </cfRule>
  </conditionalFormatting>
  <conditionalFormatting sqref="D26">
    <cfRule type="cellIs" dxfId="188" priority="50" stopIfTrue="1" operator="equal">
      <formula>$AJ$36</formula>
    </cfRule>
  </conditionalFormatting>
  <conditionalFormatting sqref="D25">
    <cfRule type="cellIs" dxfId="187" priority="83" stopIfTrue="1" operator="equal">
      <formula>19</formula>
    </cfRule>
    <cfRule type="cellIs" dxfId="186" priority="84" stopIfTrue="1" operator="equal">
      <formula>$AJ$36</formula>
    </cfRule>
  </conditionalFormatting>
  <conditionalFormatting sqref="D34:J34">
    <cfRule type="cellIs" dxfId="185" priority="4" operator="equal">
      <formula>$M$54</formula>
    </cfRule>
    <cfRule type="cellIs" dxfId="184" priority="14" stopIfTrue="1" operator="equal">
      <formula>$AD$52</formula>
    </cfRule>
    <cfRule type="cellIs" dxfId="183" priority="37" stopIfTrue="1" operator="equal">
      <formula>1</formula>
    </cfRule>
  </conditionalFormatting>
  <conditionalFormatting sqref="F15">
    <cfRule type="cellIs" dxfId="182" priority="20" operator="equal">
      <formula>$AE$28</formula>
    </cfRule>
  </conditionalFormatting>
  <conditionalFormatting sqref="F22:F23">
    <cfRule type="cellIs" dxfId="181" priority="51" stopIfTrue="1" operator="equal">
      <formula>$AD$30</formula>
    </cfRule>
  </conditionalFormatting>
  <conditionalFormatting sqref="G24:G26">
    <cfRule type="cellIs" dxfId="180" priority="48" operator="equal">
      <formula>$AF$37</formula>
    </cfRule>
  </conditionalFormatting>
  <conditionalFormatting sqref="J24:J26">
    <cfRule type="cellIs" dxfId="179" priority="19" stopIfTrue="1" operator="equal">
      <formula>$AK$36</formula>
    </cfRule>
  </conditionalFormatting>
  <conditionalFormatting sqref="G28:G32">
    <cfRule type="cellIs" dxfId="178" priority="76" stopIfTrue="1" operator="equal">
      <formula>$AG$37</formula>
    </cfRule>
  </conditionalFormatting>
  <conditionalFormatting sqref="J34:J38">
    <cfRule type="cellIs" dxfId="177" priority="38" stopIfTrue="1" operator="equal">
      <formula>$W$59</formula>
    </cfRule>
    <cfRule type="cellIs" dxfId="176" priority="70" stopIfTrue="1" operator="equal">
      <formula>$V$62</formula>
    </cfRule>
    <cfRule type="cellIs" dxfId="175" priority="73" operator="equal">
      <formula>$AC$58</formula>
    </cfRule>
  </conditionalFormatting>
  <conditionalFormatting sqref="Q18:W18">
    <cfRule type="cellIs" dxfId="174" priority="65" stopIfTrue="1" operator="equal">
      <formula>15</formula>
    </cfRule>
  </conditionalFormatting>
  <conditionalFormatting sqref="R29:W29 Q30">
    <cfRule type="cellIs" dxfId="173" priority="34" stopIfTrue="1" operator="equal">
      <formula>9</formula>
    </cfRule>
  </conditionalFormatting>
  <conditionalFormatting sqref="D24:J26 D27 E27">
    <cfRule type="cellIs" dxfId="172" priority="85" operator="between">
      <formula>$AR$35</formula>
      <formula>$AR$36</formula>
    </cfRule>
  </conditionalFormatting>
  <conditionalFormatting sqref="D28:J33">
    <cfRule type="cellIs" dxfId="171" priority="80" stopIfTrue="1" operator="between">
      <formula>$AT$35</formula>
      <formula>$AT$36</formula>
    </cfRule>
  </conditionalFormatting>
  <conditionalFormatting sqref="D34:J34 D35 M57">
    <cfRule type="cellIs" dxfId="170" priority="39" stopIfTrue="1" operator="between">
      <formula>$AW$35</formula>
      <formula>$AW$36</formula>
    </cfRule>
  </conditionalFormatting>
  <conditionalFormatting sqref="J40:J44">
    <cfRule type="cellIs" dxfId="169" priority="13" stopIfTrue="1" operator="equal">
      <formula>$W$60</formula>
    </cfRule>
    <cfRule type="cellIs" dxfId="168" priority="63" stopIfTrue="1" operator="equal">
      <formula>$AD$58</formula>
    </cfRule>
  </conditionalFormatting>
  <conditionalFormatting sqref="Q44:W45">
    <cfRule type="cellIs" dxfId="167" priority="31" operator="between">
      <formula>23</formula>
      <formula>31</formula>
    </cfRule>
  </conditionalFormatting>
  <conditionalFormatting sqref="D10:J10 D11:H11">
    <cfRule type="cellIs" dxfId="166" priority="24" operator="between">
      <formula>1</formula>
      <formula>6</formula>
    </cfRule>
  </conditionalFormatting>
  <conditionalFormatting sqref="W40 Q41:V41">
    <cfRule type="cellIs" dxfId="165" priority="27" operator="equal">
      <formula>7</formula>
    </cfRule>
  </conditionalFormatting>
  <conditionalFormatting sqref="D16:D21">
    <cfRule type="cellIs" dxfId="164" priority="9" operator="equal">
      <formula>$AB$47</formula>
    </cfRule>
  </conditionalFormatting>
  <conditionalFormatting sqref="D22:D27">
    <cfRule type="cellIs" dxfId="163" priority="8" operator="equal">
      <formula>$AA$47</formula>
    </cfRule>
  </conditionalFormatting>
  <conditionalFormatting sqref="J40:J44 Q10">
    <cfRule type="cellIs" dxfId="162" priority="115" stopIfTrue="1" operator="equal">
      <formula>$S$65</formula>
    </cfRule>
  </conditionalFormatting>
  <conditionalFormatting sqref="D35">
    <cfRule type="expression" dxfId="161" priority="3">
      <formula>IF($J$34=$O$54,$O$54+1,"no")</formula>
    </cfRule>
  </conditionalFormatting>
  <conditionalFormatting sqref="D28">
    <cfRule type="expression" dxfId="160" priority="2">
      <formula>$D$28</formula>
    </cfRule>
  </conditionalFormatting>
  <conditionalFormatting sqref="I31">
    <cfRule type="cellIs" dxfId="159" priority="1" stopIfTrue="1" operator="equal">
      <formula>$AL$37</formula>
    </cfRule>
  </conditionalFormatting>
  <pageMargins left="0.75" right="0.75" top="1" bottom="1" header="0" footer="0"/>
  <pageSetup paperSize="9" scale="93" orientation="portrait" r:id="rId2"/>
  <headerFooter alignWithMargins="0"/>
  <legacyDrawing r:id="rId3"/>
  <controls>
    <control shapeId="1026" r:id="rId4" name="ScrollBar1"/>
  </controls>
</worksheet>
</file>

<file path=xl/worksheets/sheet6.xml><?xml version="1.0" encoding="utf-8"?>
<worksheet xmlns="http://schemas.openxmlformats.org/spreadsheetml/2006/main" xmlns:r="http://schemas.openxmlformats.org/officeDocument/2006/relationships">
  <sheetPr codeName="Hoja6"/>
  <dimension ref="A1:AR70"/>
  <sheetViews>
    <sheetView showGridLines="0" showRowColHeaders="0" showZeros="0" showOutlineSymbols="0" zoomScale="125" zoomScaleNormal="125" workbookViewId="0">
      <selection activeCell="AE72" sqref="AE72"/>
    </sheetView>
  </sheetViews>
  <sheetFormatPr baseColWidth="10" defaultColWidth="3.33203125" defaultRowHeight="13.2"/>
  <sheetData>
    <row r="1" spans="1:44" ht="10.5" customHeight="1" thickBot="1">
      <c r="B1" s="1053" t="s">
        <v>991</v>
      </c>
      <c r="C1" s="1054"/>
      <c r="D1" s="1054"/>
      <c r="E1" s="1054"/>
      <c r="F1" s="1054"/>
      <c r="G1" s="1054"/>
      <c r="H1" s="1054"/>
      <c r="I1" s="1054"/>
      <c r="J1" s="1054"/>
      <c r="K1" s="1054"/>
      <c r="L1" s="1054"/>
      <c r="M1" s="1054"/>
      <c r="N1" s="1054"/>
      <c r="O1" s="1054"/>
      <c r="P1" s="1054"/>
      <c r="Q1" s="1054"/>
      <c r="R1" s="1054"/>
      <c r="S1" s="1054"/>
      <c r="T1" s="1054"/>
      <c r="U1" s="907"/>
      <c r="V1" s="1055" t="str">
        <f>año!$S$22</f>
        <v>NOVIEMBRE</v>
      </c>
      <c r="W1" s="1056"/>
      <c r="X1" s="1056"/>
      <c r="Y1" s="1056"/>
      <c r="Z1" s="1056"/>
      <c r="AA1" s="1057">
        <f>año!$O$1</f>
        <v>2024</v>
      </c>
      <c r="AB1" s="1058"/>
      <c r="AJ1" s="1059" t="str">
        <f>año!$C$4</f>
        <v>ENERO</v>
      </c>
      <c r="AK1" s="1059"/>
      <c r="AL1" s="1059"/>
      <c r="AM1" s="1059"/>
      <c r="AN1" s="1059"/>
      <c r="AO1" s="1041">
        <f>AA1+1</f>
        <v>2025</v>
      </c>
      <c r="AP1" s="1042"/>
      <c r="AR1" s="136"/>
    </row>
    <row r="2" spans="1:44" ht="9" customHeight="1" thickBot="1">
      <c r="B2" s="1053"/>
      <c r="C2" s="1054"/>
      <c r="D2" s="1054"/>
      <c r="E2" s="1054"/>
      <c r="F2" s="1054"/>
      <c r="G2" s="1054"/>
      <c r="H2" s="1054"/>
      <c r="I2" s="1054"/>
      <c r="J2" s="1054"/>
      <c r="K2" s="1054"/>
      <c r="L2" s="1054"/>
      <c r="M2" s="1054"/>
      <c r="N2" s="1054"/>
      <c r="O2" s="1054"/>
      <c r="P2" s="1054"/>
      <c r="Q2" s="1054"/>
      <c r="R2" s="1054"/>
      <c r="S2" s="1054"/>
      <c r="T2" s="1054"/>
      <c r="U2" s="907"/>
      <c r="V2" s="119" t="s">
        <v>20</v>
      </c>
      <c r="W2" s="120" t="s">
        <v>17</v>
      </c>
      <c r="X2" s="120" t="s">
        <v>29</v>
      </c>
      <c r="Y2" s="120" t="s">
        <v>24</v>
      </c>
      <c r="Z2" s="120" t="s">
        <v>12</v>
      </c>
      <c r="AA2" s="120" t="s">
        <v>7</v>
      </c>
      <c r="AB2" s="121" t="s">
        <v>15</v>
      </c>
      <c r="AD2" s="1043" t="str">
        <f>año!$AA$22</f>
        <v>DICIEMBRE</v>
      </c>
      <c r="AE2" s="1043"/>
      <c r="AF2" s="1043"/>
      <c r="AG2" s="1043"/>
      <c r="AH2" s="1043"/>
      <c r="AJ2" s="119" t="s">
        <v>20</v>
      </c>
      <c r="AK2" s="120" t="s">
        <v>17</v>
      </c>
      <c r="AL2" s="120" t="s">
        <v>29</v>
      </c>
      <c r="AM2" s="120" t="s">
        <v>24</v>
      </c>
      <c r="AN2" s="120" t="s">
        <v>12</v>
      </c>
      <c r="AO2" s="120" t="s">
        <v>7</v>
      </c>
      <c r="AP2" s="121" t="s">
        <v>15</v>
      </c>
    </row>
    <row r="3" spans="1:44" ht="9" customHeight="1">
      <c r="A3" s="693"/>
      <c r="B3" s="1053"/>
      <c r="C3" s="1054"/>
      <c r="D3" s="1054"/>
      <c r="E3" s="1054"/>
      <c r="F3" s="1054"/>
      <c r="G3" s="1054"/>
      <c r="H3" s="1054"/>
      <c r="I3" s="1054"/>
      <c r="J3" s="1054"/>
      <c r="K3" s="1054"/>
      <c r="L3" s="1054"/>
      <c r="M3" s="1054"/>
      <c r="N3" s="1054"/>
      <c r="O3" s="1054"/>
      <c r="P3" s="1054"/>
      <c r="Q3" s="1054"/>
      <c r="R3" s="1054"/>
      <c r="S3" s="1054"/>
      <c r="T3" s="1054"/>
      <c r="U3" s="907"/>
      <c r="V3" s="135" t="str">
        <f>año!S24</f>
        <v xml:space="preserve"> </v>
      </c>
      <c r="W3" s="123" t="str">
        <f>año!T24</f>
        <v xml:space="preserve"> </v>
      </c>
      <c r="X3" s="123" t="str">
        <f>año!U24</f>
        <v xml:space="preserve"> </v>
      </c>
      <c r="Y3" s="123" t="str">
        <f>año!V24</f>
        <v xml:space="preserve"> </v>
      </c>
      <c r="Z3" s="123">
        <f>año!W24</f>
        <v>1</v>
      </c>
      <c r="AA3" s="123">
        <f>año!X24</f>
        <v>2</v>
      </c>
      <c r="AB3" s="132">
        <f>año!Y24</f>
        <v>3</v>
      </c>
      <c r="AD3" s="1043"/>
      <c r="AE3" s="1043"/>
      <c r="AF3" s="1043"/>
      <c r="AG3" s="1043"/>
      <c r="AH3" s="1043"/>
      <c r="AJ3" s="128" t="str">
        <f>IF($AJ$39=1,1," ")</f>
        <v xml:space="preserve"> </v>
      </c>
      <c r="AK3" s="129" t="str">
        <f>IF($AJ$39=2,1,IF(AJ3=1,AJ3+1," "))</f>
        <v xml:space="preserve"> </v>
      </c>
      <c r="AL3" s="129">
        <f>IF($AJ$39=3,1,IF(AJ3=1,AJ3+2,IF(AK3=1,AK3+1," ")))</f>
        <v>1</v>
      </c>
      <c r="AM3" s="129">
        <f>IF($AJ$39=4,1,IF($AJ3=1,$AJ3+3,IF($AK3=1,$AK3+2,IF($AL3=1,$AL3+1," "))))</f>
        <v>2</v>
      </c>
      <c r="AN3" s="129">
        <f>IF($AJ$39=5,1,IF($AJ3=1,$AJ3+4,IF($AK3=1,$AK3+3,IF($AL3=1,$AL3+2,IF($AM3=1,$AM3+1," ")))))</f>
        <v>3</v>
      </c>
      <c r="AO3" s="129">
        <f>IF($AJ$39=6,1,IF($AJ3=1,$AJ3+5,IF($AK3=1,$AK3+4,IF($AL3=1,$AL3+3,IF($AM3=1,$AM3+2,IF($AN3=1,AN3+1," "))))))</f>
        <v>4</v>
      </c>
      <c r="AP3" s="132">
        <f>IF($AJ$39=0,1,IF($AJ3=1,$AJ3+6,IF($AK3=1,$AK3+5,IF($AL3=1,$AL3+4,IF($AM3=1,$AM3+3,IF($AN3=1,$AN3+2,IF($AO3=1,$AO3+1," ")))))))</f>
        <v>5</v>
      </c>
    </row>
    <row r="4" spans="1:44" ht="9" customHeight="1">
      <c r="A4" s="693"/>
      <c r="B4" s="350"/>
      <c r="C4" s="349"/>
      <c r="D4" s="349"/>
      <c r="E4" s="349"/>
      <c r="F4" s="349"/>
      <c r="G4" s="349"/>
      <c r="H4" s="349"/>
      <c r="I4" s="349"/>
      <c r="J4" s="349"/>
      <c r="K4" s="349"/>
      <c r="L4" s="349"/>
      <c r="M4" s="349"/>
      <c r="N4" s="349"/>
      <c r="O4" s="349"/>
      <c r="P4" s="349"/>
      <c r="Q4" s="349"/>
      <c r="R4" s="349"/>
      <c r="S4" s="349"/>
      <c r="T4" s="349"/>
      <c r="U4" s="351"/>
      <c r="V4" s="124">
        <f>año!S25</f>
        <v>4</v>
      </c>
      <c r="W4" s="125">
        <f>año!T25</f>
        <v>5</v>
      </c>
      <c r="X4" s="125">
        <f>año!U25</f>
        <v>6</v>
      </c>
      <c r="Y4" s="125">
        <f>año!V25</f>
        <v>7</v>
      </c>
      <c r="Z4" s="125">
        <f>año!W25</f>
        <v>8</v>
      </c>
      <c r="AA4" s="125">
        <f>año!X25</f>
        <v>9</v>
      </c>
      <c r="AB4" s="133">
        <f>año!Y25</f>
        <v>10</v>
      </c>
      <c r="AD4" s="1043"/>
      <c r="AE4" s="1043"/>
      <c r="AF4" s="1043"/>
      <c r="AG4" s="1043"/>
      <c r="AH4" s="1043"/>
      <c r="AJ4" s="130">
        <f>AP3+1</f>
        <v>6</v>
      </c>
      <c r="AK4" s="131">
        <f t="shared" ref="AK4:AP6" si="0">AJ4+1</f>
        <v>7</v>
      </c>
      <c r="AL4" s="131">
        <f t="shared" si="0"/>
        <v>8</v>
      </c>
      <c r="AM4" s="131">
        <f t="shared" si="0"/>
        <v>9</v>
      </c>
      <c r="AN4" s="131">
        <f t="shared" si="0"/>
        <v>10</v>
      </c>
      <c r="AO4" s="131">
        <f t="shared" si="0"/>
        <v>11</v>
      </c>
      <c r="AP4" s="133">
        <f t="shared" si="0"/>
        <v>12</v>
      </c>
    </row>
    <row r="5" spans="1:44" ht="9" customHeight="1">
      <c r="A5" s="693"/>
      <c r="B5" s="350"/>
      <c r="C5" s="349"/>
      <c r="E5" s="349"/>
      <c r="F5" s="349"/>
      <c r="G5" s="349"/>
      <c r="H5" s="349"/>
      <c r="I5" s="349"/>
      <c r="J5" s="349"/>
      <c r="K5" s="349"/>
      <c r="L5" s="349"/>
      <c r="M5" s="349"/>
      <c r="N5" s="349"/>
      <c r="O5" s="349"/>
      <c r="P5" s="349"/>
      <c r="Q5" s="349"/>
      <c r="R5" s="349"/>
      <c r="S5" s="349"/>
      <c r="T5" s="349"/>
      <c r="U5" s="351"/>
      <c r="V5" s="124">
        <f>año!S26</f>
        <v>11</v>
      </c>
      <c r="W5" s="125">
        <f>año!T26</f>
        <v>12</v>
      </c>
      <c r="X5" s="131">
        <f>año!U26</f>
        <v>13</v>
      </c>
      <c r="Y5" s="125">
        <f>año!V26</f>
        <v>14</v>
      </c>
      <c r="Z5" s="125">
        <f>año!W26</f>
        <v>15</v>
      </c>
      <c r="AA5" s="125">
        <f>año!X26</f>
        <v>16</v>
      </c>
      <c r="AB5" s="133">
        <f>año!Y26</f>
        <v>17</v>
      </c>
      <c r="AD5" s="1044">
        <f>año!$O$1</f>
        <v>2024</v>
      </c>
      <c r="AE5" s="1045"/>
      <c r="AF5" s="1045"/>
      <c r="AG5" s="1045"/>
      <c r="AH5" s="1045"/>
      <c r="AJ5" s="130">
        <f>AP4+1</f>
        <v>13</v>
      </c>
      <c r="AK5" s="131">
        <f t="shared" si="0"/>
        <v>14</v>
      </c>
      <c r="AL5" s="131">
        <f t="shared" si="0"/>
        <v>15</v>
      </c>
      <c r="AM5" s="131">
        <f t="shared" si="0"/>
        <v>16</v>
      </c>
      <c r="AN5" s="131">
        <f t="shared" si="0"/>
        <v>17</v>
      </c>
      <c r="AO5" s="131">
        <f t="shared" si="0"/>
        <v>18</v>
      </c>
      <c r="AP5" s="133">
        <f t="shared" si="0"/>
        <v>19</v>
      </c>
    </row>
    <row r="6" spans="1:44" ht="9" customHeight="1">
      <c r="A6" s="693"/>
      <c r="B6" s="350"/>
      <c r="C6" s="349"/>
      <c r="D6" s="349"/>
      <c r="E6" s="349"/>
      <c r="F6" s="349"/>
      <c r="G6" s="349"/>
      <c r="H6" s="349"/>
      <c r="I6" s="349"/>
      <c r="J6" s="349"/>
      <c r="K6" s="349"/>
      <c r="L6" s="349"/>
      <c r="M6" s="349"/>
      <c r="N6" s="349"/>
      <c r="O6" s="349"/>
      <c r="P6" s="349"/>
      <c r="Q6" s="349"/>
      <c r="R6" s="349"/>
      <c r="S6" s="349"/>
      <c r="T6" s="349"/>
      <c r="U6" s="351"/>
      <c r="V6" s="124">
        <f>año!S27</f>
        <v>18</v>
      </c>
      <c r="W6" s="125">
        <f>año!T27</f>
        <v>19</v>
      </c>
      <c r="X6" s="125">
        <f>año!U27</f>
        <v>20</v>
      </c>
      <c r="Y6" s="125">
        <f>año!V27</f>
        <v>21</v>
      </c>
      <c r="Z6" s="125">
        <f>año!W27</f>
        <v>22</v>
      </c>
      <c r="AA6" s="125">
        <f>año!X27</f>
        <v>23</v>
      </c>
      <c r="AB6" s="133">
        <f>año!Y27</f>
        <v>24</v>
      </c>
      <c r="AD6" s="1045"/>
      <c r="AE6" s="1045"/>
      <c r="AF6" s="1045"/>
      <c r="AG6" s="1045"/>
      <c r="AH6" s="1045"/>
      <c r="AJ6" s="130">
        <f>AP5+1</f>
        <v>20</v>
      </c>
      <c r="AK6" s="131">
        <f t="shared" si="0"/>
        <v>21</v>
      </c>
      <c r="AL6" s="131">
        <f t="shared" si="0"/>
        <v>22</v>
      </c>
      <c r="AM6" s="131">
        <f t="shared" si="0"/>
        <v>23</v>
      </c>
      <c r="AN6" s="131">
        <f t="shared" si="0"/>
        <v>24</v>
      </c>
      <c r="AO6" s="131">
        <f t="shared" si="0"/>
        <v>25</v>
      </c>
      <c r="AP6" s="133">
        <f t="shared" si="0"/>
        <v>26</v>
      </c>
    </row>
    <row r="7" spans="1:44" ht="9" customHeight="1">
      <c r="B7" s="350"/>
      <c r="C7" s="349"/>
      <c r="D7" s="349"/>
      <c r="E7" s="349"/>
      <c r="F7" s="349"/>
      <c r="G7" s="349"/>
      <c r="H7" s="349"/>
      <c r="I7" s="349"/>
      <c r="J7" s="349"/>
      <c r="K7" s="349"/>
      <c r="L7" s="349"/>
      <c r="M7" s="349"/>
      <c r="N7" s="349"/>
      <c r="O7" s="349"/>
      <c r="P7" s="349"/>
      <c r="Q7" s="349"/>
      <c r="R7" s="349"/>
      <c r="S7" s="349"/>
      <c r="T7" s="349"/>
      <c r="U7" s="351"/>
      <c r="V7" s="124">
        <f>año!S28</f>
        <v>25</v>
      </c>
      <c r="W7" s="125">
        <f>año!T28</f>
        <v>26</v>
      </c>
      <c r="X7" s="125">
        <f>año!U28</f>
        <v>27</v>
      </c>
      <c r="Y7" s="125">
        <f>año!V28</f>
        <v>28</v>
      </c>
      <c r="Z7" s="125">
        <f>año!W28</f>
        <v>29</v>
      </c>
      <c r="AA7" s="125">
        <f>año!X28</f>
        <v>30</v>
      </c>
      <c r="AB7" s="133" t="str">
        <f>año!Y28</f>
        <v xml:space="preserve"> </v>
      </c>
      <c r="AD7" s="1045"/>
      <c r="AE7" s="1045"/>
      <c r="AF7" s="1045"/>
      <c r="AG7" s="1045"/>
      <c r="AH7" s="1045"/>
      <c r="AJ7" s="130">
        <f>AP6+1</f>
        <v>27</v>
      </c>
      <c r="AK7" s="131">
        <f>AJ7+1</f>
        <v>28</v>
      </c>
      <c r="AL7" s="131">
        <f>AK7+1</f>
        <v>29</v>
      </c>
      <c r="AM7" s="131">
        <f>IF(AL7&lt;31,AL7+1,0)</f>
        <v>30</v>
      </c>
      <c r="AN7" s="131">
        <f t="shared" ref="AN7:AP8" si="1">IF(AND(AM7&lt;31,AM7&lt;&gt;0),AM7+1,0)</f>
        <v>31</v>
      </c>
      <c r="AO7" s="131">
        <f t="shared" si="1"/>
        <v>0</v>
      </c>
      <c r="AP7" s="146">
        <f t="shared" si="1"/>
        <v>0</v>
      </c>
    </row>
    <row r="8" spans="1:44" ht="9" customHeight="1" thickBot="1">
      <c r="B8" s="350"/>
      <c r="C8" s="349"/>
      <c r="D8" s="349"/>
      <c r="E8" s="349"/>
      <c r="F8" s="349"/>
      <c r="G8" s="349"/>
      <c r="H8" s="349"/>
      <c r="I8" s="349"/>
      <c r="J8" s="349"/>
      <c r="K8" s="349"/>
      <c r="L8" s="349"/>
      <c r="M8" s="349"/>
      <c r="N8" s="349"/>
      <c r="O8" s="349"/>
      <c r="P8" s="349"/>
      <c r="Q8" s="349"/>
      <c r="R8" s="349"/>
      <c r="S8" s="349"/>
      <c r="T8" s="349"/>
      <c r="U8" s="352"/>
      <c r="V8" s="126" t="str">
        <f>año!S29</f>
        <v xml:space="preserve"> </v>
      </c>
      <c r="W8" s="127" t="str">
        <f>año!T29</f>
        <v xml:space="preserve"> </v>
      </c>
      <c r="X8" s="127" t="str">
        <f>año!U29</f>
        <v xml:space="preserve"> </v>
      </c>
      <c r="Y8" s="127" t="str">
        <f>año!V29</f>
        <v xml:space="preserve"> </v>
      </c>
      <c r="Z8" s="127" t="str">
        <f>año!W29</f>
        <v xml:space="preserve"> </v>
      </c>
      <c r="AA8" s="127" t="str">
        <f>año!X29</f>
        <v xml:space="preserve"> </v>
      </c>
      <c r="AB8" s="134" t="str">
        <f>año!Y29</f>
        <v xml:space="preserve"> </v>
      </c>
      <c r="AJ8" s="126">
        <f>IF(AND(AP7&lt;31,AP7&lt;&gt;0),AP7+1,0)</f>
        <v>0</v>
      </c>
      <c r="AK8" s="147">
        <f>IF(AND(AJ8&lt;31,AJ8&lt;&gt;0),AJ8+1,0)</f>
        <v>0</v>
      </c>
      <c r="AL8" s="147">
        <f>IF(AND(AK8&lt;31,AK8&lt;&gt;0),AK8+1,0)</f>
        <v>0</v>
      </c>
      <c r="AM8" s="147">
        <f>IF(AND(AL8&lt;31,AL8&lt;&gt;0),AL8+1,0)</f>
        <v>0</v>
      </c>
      <c r="AN8" s="147">
        <f t="shared" si="1"/>
        <v>0</v>
      </c>
      <c r="AO8" s="147">
        <f t="shared" si="1"/>
        <v>0</v>
      </c>
      <c r="AP8" s="148">
        <f t="shared" si="1"/>
        <v>0</v>
      </c>
    </row>
    <row r="9" spans="1:44" ht="9" customHeight="1">
      <c r="B9" s="350"/>
      <c r="C9" s="349"/>
      <c r="D9" s="349"/>
      <c r="E9" s="349"/>
      <c r="F9" s="349"/>
      <c r="G9" s="349"/>
      <c r="H9" s="349"/>
      <c r="I9" s="349"/>
      <c r="J9" s="349"/>
      <c r="K9" s="349"/>
      <c r="L9" s="349"/>
      <c r="M9" s="349"/>
      <c r="N9" s="349"/>
      <c r="O9" s="349"/>
      <c r="P9" s="349"/>
      <c r="Q9" s="349"/>
      <c r="R9" s="349"/>
      <c r="S9" s="349"/>
      <c r="T9" s="349"/>
      <c r="U9" s="352"/>
      <c r="V9" s="112"/>
      <c r="W9" s="112"/>
      <c r="X9" s="112"/>
      <c r="Y9" s="112"/>
      <c r="Z9" s="112"/>
      <c r="AA9" s="112"/>
      <c r="AB9" s="112"/>
      <c r="AC9" s="112"/>
      <c r="AD9" s="112"/>
      <c r="AE9" s="112"/>
      <c r="AF9" s="112"/>
      <c r="AG9" s="112"/>
      <c r="AH9" s="112"/>
      <c r="AI9" s="112"/>
      <c r="AJ9" s="112"/>
      <c r="AK9" s="112"/>
      <c r="AL9" s="112"/>
      <c r="AM9" s="112"/>
      <c r="AN9" s="112"/>
      <c r="AO9" s="112"/>
      <c r="AP9" s="112"/>
    </row>
    <row r="10" spans="1:44" ht="9" customHeight="1">
      <c r="B10" s="350"/>
      <c r="C10" s="349"/>
      <c r="D10" s="349"/>
      <c r="E10" s="349"/>
      <c r="F10" s="349"/>
      <c r="G10" s="349"/>
      <c r="H10" s="349"/>
      <c r="I10" s="349"/>
      <c r="J10" s="349"/>
      <c r="K10" s="349"/>
      <c r="L10" s="349"/>
      <c r="M10" s="349"/>
      <c r="N10" s="349"/>
      <c r="O10" s="349"/>
      <c r="P10" s="349"/>
      <c r="Q10" s="349"/>
      <c r="R10" s="349"/>
      <c r="S10" s="349"/>
      <c r="T10" s="349"/>
      <c r="U10" s="352"/>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047"/>
    </row>
    <row r="11" spans="1:44" ht="9" customHeight="1">
      <c r="B11" s="350"/>
      <c r="C11" s="349"/>
      <c r="D11" s="349"/>
      <c r="E11" s="349"/>
      <c r="F11" s="349"/>
      <c r="G11" s="349"/>
      <c r="H11" s="349"/>
      <c r="I11" s="349"/>
      <c r="J11" s="349"/>
      <c r="K11" s="349"/>
      <c r="L11" s="349"/>
      <c r="M11" s="349"/>
      <c r="N11" s="349"/>
      <c r="O11" s="349"/>
      <c r="P11" s="349"/>
      <c r="Q11" s="349"/>
      <c r="R11" s="349"/>
      <c r="S11" s="349"/>
      <c r="T11" s="349"/>
      <c r="U11" s="352"/>
      <c r="V11" s="1060" t="str">
        <f>año!AA24</f>
        <v xml:space="preserve"> </v>
      </c>
      <c r="W11" s="1061"/>
      <c r="X11" s="1061"/>
      <c r="Y11" s="1061" t="str">
        <f>año!AB24</f>
        <v xml:space="preserve"> </v>
      </c>
      <c r="Z11" s="1061"/>
      <c r="AA11" s="1061"/>
      <c r="AB11" s="1052" t="str">
        <f>año!AC24</f>
        <v xml:space="preserve"> </v>
      </c>
      <c r="AC11" s="1052"/>
      <c r="AD11" s="1052"/>
      <c r="AE11" s="1052" t="str">
        <f>año!AD24</f>
        <v xml:space="preserve"> </v>
      </c>
      <c r="AF11" s="1052"/>
      <c r="AG11" s="1052"/>
      <c r="AH11" s="1052" t="str">
        <f>año!AE24</f>
        <v xml:space="preserve"> </v>
      </c>
      <c r="AI11" s="1052"/>
      <c r="AJ11" s="1052"/>
      <c r="AK11" s="1052" t="str">
        <f>año!AF24</f>
        <v xml:space="preserve"> </v>
      </c>
      <c r="AL11" s="1052"/>
      <c r="AM11" s="1052"/>
      <c r="AN11" s="1062">
        <f>año!AG24</f>
        <v>1</v>
      </c>
      <c r="AO11" s="1062"/>
      <c r="AP11" s="1063"/>
    </row>
    <row r="12" spans="1:44" ht="9" customHeight="1">
      <c r="B12" s="350"/>
      <c r="C12" s="349"/>
      <c r="D12" s="349"/>
      <c r="E12" s="349"/>
      <c r="F12" s="349"/>
      <c r="G12" s="349"/>
      <c r="H12" s="349"/>
      <c r="I12" s="349"/>
      <c r="J12" s="349"/>
      <c r="K12" s="349"/>
      <c r="L12" s="349"/>
      <c r="M12" s="349"/>
      <c r="N12" s="349"/>
      <c r="O12" s="349"/>
      <c r="P12" s="349"/>
      <c r="Q12" s="349"/>
      <c r="R12" s="349"/>
      <c r="S12" s="349"/>
      <c r="T12" s="349"/>
      <c r="U12" s="352"/>
      <c r="V12" s="1051"/>
      <c r="W12" s="1052"/>
      <c r="X12" s="1052"/>
      <c r="Y12" s="1052"/>
      <c r="Z12" s="1052"/>
      <c r="AA12" s="1052"/>
      <c r="AB12" s="1052"/>
      <c r="AC12" s="1052"/>
      <c r="AD12" s="1052"/>
      <c r="AE12" s="1052"/>
      <c r="AF12" s="1052"/>
      <c r="AG12" s="1052"/>
      <c r="AH12" s="1052"/>
      <c r="AI12" s="1052"/>
      <c r="AJ12" s="1052"/>
      <c r="AK12" s="1052"/>
      <c r="AL12" s="1052"/>
      <c r="AM12" s="1052"/>
      <c r="AN12" s="1064"/>
      <c r="AO12" s="1064"/>
      <c r="AP12" s="1065"/>
    </row>
    <row r="13" spans="1:44" ht="9" customHeight="1">
      <c r="B13" s="350"/>
      <c r="C13" s="349"/>
      <c r="D13" s="349"/>
      <c r="E13" s="349"/>
      <c r="F13" s="349"/>
      <c r="G13" s="349"/>
      <c r="H13" s="349"/>
      <c r="I13" s="349"/>
      <c r="J13" s="349"/>
      <c r="K13" s="349"/>
      <c r="L13" s="349"/>
      <c r="M13" s="349"/>
      <c r="N13" s="349"/>
      <c r="O13" s="349"/>
      <c r="P13" s="349"/>
      <c r="Q13" s="349"/>
      <c r="R13" s="349"/>
      <c r="S13" s="349"/>
      <c r="T13" s="349"/>
      <c r="U13" s="352"/>
      <c r="V13" s="1051"/>
      <c r="W13" s="1052"/>
      <c r="X13" s="1052"/>
      <c r="Y13" s="1052"/>
      <c r="Z13" s="1052"/>
      <c r="AA13" s="1052"/>
      <c r="AB13" s="1052"/>
      <c r="AC13" s="1052"/>
      <c r="AD13" s="1052"/>
      <c r="AE13" s="1052"/>
      <c r="AF13" s="1052"/>
      <c r="AG13" s="1052"/>
      <c r="AH13" s="1052"/>
      <c r="AI13" s="1052"/>
      <c r="AJ13" s="1052"/>
      <c r="AK13" s="1052"/>
      <c r="AL13" s="1052"/>
      <c r="AM13" s="1052"/>
      <c r="AN13" s="1064"/>
      <c r="AO13" s="1064"/>
      <c r="AP13" s="1065"/>
    </row>
    <row r="14" spans="1:44" ht="9" customHeight="1">
      <c r="B14" s="350"/>
      <c r="C14" s="349"/>
      <c r="D14" s="349"/>
      <c r="E14" s="349"/>
      <c r="F14" s="349"/>
      <c r="G14" s="349"/>
      <c r="H14" s="349"/>
      <c r="I14" s="349"/>
      <c r="J14" s="349"/>
      <c r="K14" s="349"/>
      <c r="L14" s="349"/>
      <c r="M14" s="349"/>
      <c r="N14" s="349"/>
      <c r="O14" s="349"/>
      <c r="P14" s="349"/>
      <c r="Q14" s="349"/>
      <c r="R14" s="349"/>
      <c r="S14" s="349"/>
      <c r="T14" s="349"/>
      <c r="U14" s="352"/>
      <c r="V14" s="1049" t="str">
        <f>IF(V11&lt;&gt;" ",VLOOKUP(V11,$F$40:$H$70,2)," ")</f>
        <v xml:space="preserve"> </v>
      </c>
      <c r="W14" s="1050"/>
      <c r="X14" s="1050"/>
      <c r="Y14" s="1050" t="str">
        <f>IF(Y11&lt;&gt;" ",VLOOKUP(Y11,$F$40:$H$70,2)," ")</f>
        <v xml:space="preserve"> </v>
      </c>
      <c r="Z14" s="1050"/>
      <c r="AA14" s="1050"/>
      <c r="AB14" s="1050" t="str">
        <f>IF(AB11&lt;&gt;" ",VLOOKUP(AB11,$F$40:$H$70,2)," ")</f>
        <v xml:space="preserve"> </v>
      </c>
      <c r="AC14" s="1050"/>
      <c r="AD14" s="1050"/>
      <c r="AE14" s="1050" t="str">
        <f>IF(AE11&lt;&gt;" ",VLOOKUP(AE11,$F$40:$H$70,2)," ")</f>
        <v xml:space="preserve"> </v>
      </c>
      <c r="AF14" s="1050"/>
      <c r="AG14" s="1050"/>
      <c r="AH14" s="1050" t="str">
        <f>IF(AH11&lt;&gt;" ",VLOOKUP(AH11,$F$40:$H$70,2)," ")</f>
        <v xml:space="preserve"> </v>
      </c>
      <c r="AI14" s="1050"/>
      <c r="AJ14" s="1050"/>
      <c r="AK14" s="1050" t="str">
        <f>IF(AK11&lt;&gt;" ",VLOOKUP(AK11,$F$40:$H$70,2)," ")</f>
        <v xml:space="preserve"> </v>
      </c>
      <c r="AL14" s="1050"/>
      <c r="AM14" s="1050"/>
      <c r="AN14" s="1050" t="str">
        <f>IF(AN11&lt;&gt;" ",VLOOKUP(AN11,$F$40:$H$70,2)," ")</f>
        <v>Edmundo</v>
      </c>
      <c r="AO14" s="1050"/>
      <c r="AP14" s="1066"/>
    </row>
    <row r="15" spans="1:44" ht="9" customHeight="1">
      <c r="B15" s="350"/>
      <c r="C15" s="349"/>
      <c r="D15" s="349"/>
      <c r="E15" s="349"/>
      <c r="F15" s="349"/>
      <c r="G15" s="349"/>
      <c r="H15" s="349"/>
      <c r="I15" s="349"/>
      <c r="J15" s="349"/>
      <c r="K15" s="349"/>
      <c r="L15" s="349"/>
      <c r="M15" s="349"/>
      <c r="N15" s="349"/>
      <c r="O15" s="349"/>
      <c r="P15" s="349"/>
      <c r="Q15" s="349"/>
      <c r="R15" s="349"/>
      <c r="S15" s="349"/>
      <c r="T15" s="349"/>
      <c r="U15" s="352"/>
      <c r="V15" s="1051">
        <f>año!AA25</f>
        <v>2</v>
      </c>
      <c r="W15" s="1052"/>
      <c r="X15" s="1052"/>
      <c r="Y15" s="1052">
        <f>año!AB25</f>
        <v>3</v>
      </c>
      <c r="Z15" s="1052"/>
      <c r="AA15" s="1052"/>
      <c r="AB15" s="1052">
        <f>año!AC25</f>
        <v>4</v>
      </c>
      <c r="AC15" s="1052"/>
      <c r="AD15" s="1052"/>
      <c r="AE15" s="1052">
        <f>año!AD25</f>
        <v>5</v>
      </c>
      <c r="AF15" s="1052"/>
      <c r="AG15" s="1052"/>
      <c r="AH15" s="1052">
        <f>año!AE25</f>
        <v>6</v>
      </c>
      <c r="AI15" s="1052"/>
      <c r="AJ15" s="1052"/>
      <c r="AK15" s="1052">
        <f>año!AF25</f>
        <v>7</v>
      </c>
      <c r="AL15" s="1052"/>
      <c r="AM15" s="1052"/>
      <c r="AN15" s="1064">
        <f>año!AG25</f>
        <v>8</v>
      </c>
      <c r="AO15" s="1064"/>
      <c r="AP15" s="1065"/>
    </row>
    <row r="16" spans="1:44" ht="9" customHeight="1">
      <c r="B16" s="350"/>
      <c r="C16" s="349"/>
      <c r="D16" s="349"/>
      <c r="E16" s="349"/>
      <c r="F16" s="349"/>
      <c r="G16" s="349"/>
      <c r="H16" s="349"/>
      <c r="I16" s="349"/>
      <c r="J16" s="349"/>
      <c r="K16" s="349"/>
      <c r="L16" s="349"/>
      <c r="M16" s="349"/>
      <c r="N16" s="349"/>
      <c r="O16" s="349"/>
      <c r="P16" s="349"/>
      <c r="Q16" s="349"/>
      <c r="R16" s="349"/>
      <c r="S16" s="349"/>
      <c r="T16" s="349"/>
      <c r="U16" s="352"/>
      <c r="V16" s="1051"/>
      <c r="W16" s="1052"/>
      <c r="X16" s="1052"/>
      <c r="Y16" s="1052"/>
      <c r="Z16" s="1052"/>
      <c r="AA16" s="1052"/>
      <c r="AB16" s="1052"/>
      <c r="AC16" s="1052"/>
      <c r="AD16" s="1052"/>
      <c r="AE16" s="1052"/>
      <c r="AF16" s="1052"/>
      <c r="AG16" s="1052"/>
      <c r="AH16" s="1052"/>
      <c r="AI16" s="1052"/>
      <c r="AJ16" s="1052"/>
      <c r="AK16" s="1052"/>
      <c r="AL16" s="1052"/>
      <c r="AM16" s="1052"/>
      <c r="AN16" s="1064"/>
      <c r="AO16" s="1064"/>
      <c r="AP16" s="1065"/>
    </row>
    <row r="17" spans="2:42" ht="9" customHeight="1">
      <c r="B17" s="350"/>
      <c r="C17" s="349"/>
      <c r="D17" s="349"/>
      <c r="E17" s="349"/>
      <c r="F17" s="349"/>
      <c r="G17" s="349"/>
      <c r="H17" s="349"/>
      <c r="I17" s="349"/>
      <c r="J17" s="349"/>
      <c r="K17" s="349"/>
      <c r="L17" s="349"/>
      <c r="M17" s="349"/>
      <c r="N17" s="349"/>
      <c r="O17" s="349"/>
      <c r="P17" s="349"/>
      <c r="Q17" s="349"/>
      <c r="R17" s="349"/>
      <c r="S17" s="349"/>
      <c r="T17" s="349"/>
      <c r="U17" s="352"/>
      <c r="V17" s="1051"/>
      <c r="W17" s="1052"/>
      <c r="X17" s="1052"/>
      <c r="Y17" s="1052"/>
      <c r="Z17" s="1052"/>
      <c r="AA17" s="1052"/>
      <c r="AB17" s="1052"/>
      <c r="AC17" s="1052"/>
      <c r="AD17" s="1052"/>
      <c r="AE17" s="1052"/>
      <c r="AF17" s="1052"/>
      <c r="AG17" s="1052"/>
      <c r="AH17" s="1052"/>
      <c r="AI17" s="1052"/>
      <c r="AJ17" s="1052"/>
      <c r="AK17" s="1052"/>
      <c r="AL17" s="1052"/>
      <c r="AM17" s="1052"/>
      <c r="AN17" s="1064"/>
      <c r="AO17" s="1064"/>
      <c r="AP17" s="1065"/>
    </row>
    <row r="18" spans="2:42" ht="9" customHeight="1">
      <c r="B18" s="350"/>
      <c r="C18" s="349"/>
      <c r="D18" s="349"/>
      <c r="E18" s="349"/>
      <c r="F18" s="349"/>
      <c r="G18" s="349"/>
      <c r="H18" s="349"/>
      <c r="I18" s="349"/>
      <c r="J18" s="349"/>
      <c r="K18" s="349"/>
      <c r="L18" s="349"/>
      <c r="M18" s="349"/>
      <c r="N18" s="349"/>
      <c r="O18" s="349"/>
      <c r="P18" s="349"/>
      <c r="Q18" s="349"/>
      <c r="R18" s="349"/>
      <c r="S18" s="349"/>
      <c r="T18" s="349"/>
      <c r="U18" s="352"/>
      <c r="V18" s="1049" t="str">
        <f>IF(V15&lt;&gt;" ",VLOOKUP(V15,$F$40:$H$70,2)," ")</f>
        <v>Bibiana</v>
      </c>
      <c r="W18" s="1050"/>
      <c r="X18" s="1050"/>
      <c r="Y18" s="1050" t="str">
        <f>IF(Y15&lt;&gt;" ",VLOOKUP(Y15,$F$40:$H$70,2)," ")</f>
        <v>Francisco Jav</v>
      </c>
      <c r="Z18" s="1050"/>
      <c r="AA18" s="1050"/>
      <c r="AB18" s="1050" t="str">
        <f>IF(AB15&lt;&gt;" ",VLOOKUP(AB15,$F$40:$H$70,2)," ")</f>
        <v>Juan Damasceno</v>
      </c>
      <c r="AC18" s="1050"/>
      <c r="AD18" s="1050"/>
      <c r="AE18" s="1050" t="str">
        <f>IF(AE15&lt;&gt;" ",VLOOKUP(AE15,$F$40:$H$70,2)," ")</f>
        <v>Pedro Pascual</v>
      </c>
      <c r="AF18" s="1050"/>
      <c r="AG18" s="1050"/>
      <c r="AH18" s="1050" t="str">
        <f>IF(AH15&lt;&gt;" ",VLOOKUP(AH15,$F$40:$H$70,2)," ")</f>
        <v>Constitución</v>
      </c>
      <c r="AI18" s="1050"/>
      <c r="AJ18" s="1050"/>
      <c r="AK18" s="1050" t="str">
        <f>IF(AK15&lt;&gt;" ",VLOOKUP(AK15,$F$40:$H$70,2)," ")</f>
        <v>Ambrosio</v>
      </c>
      <c r="AL18" s="1050"/>
      <c r="AM18" s="1050"/>
      <c r="AN18" s="1050" t="str">
        <f>IF(AN15&lt;&gt;" ",VLOOKUP(AN15,$F$40:$H$70,2)," ")</f>
        <v>Inmaculada</v>
      </c>
      <c r="AO18" s="1050"/>
      <c r="AP18" s="1066"/>
    </row>
    <row r="19" spans="2:42" ht="9" customHeight="1">
      <c r="B19" s="350"/>
      <c r="C19" s="349"/>
      <c r="D19" s="349"/>
      <c r="E19" s="349"/>
      <c r="F19" s="349"/>
      <c r="G19" s="349"/>
      <c r="H19" s="349"/>
      <c r="I19" s="349"/>
      <c r="J19" s="349"/>
      <c r="K19" s="349"/>
      <c r="L19" s="349"/>
      <c r="M19" s="349"/>
      <c r="N19" s="349"/>
      <c r="O19" s="349"/>
      <c r="P19" s="349"/>
      <c r="Q19" s="349"/>
      <c r="R19" s="349"/>
      <c r="S19" s="349"/>
      <c r="T19" s="349"/>
      <c r="U19" s="352"/>
      <c r="V19" s="1051">
        <f>año!AA26</f>
        <v>9</v>
      </c>
      <c r="W19" s="1052"/>
      <c r="X19" s="1052"/>
      <c r="Y19" s="1052">
        <f>año!AB26</f>
        <v>10</v>
      </c>
      <c r="Z19" s="1052"/>
      <c r="AA19" s="1052"/>
      <c r="AB19" s="1052">
        <f>año!AC26</f>
        <v>11</v>
      </c>
      <c r="AC19" s="1052"/>
      <c r="AD19" s="1052"/>
      <c r="AE19" s="1052">
        <f>año!AD26</f>
        <v>12</v>
      </c>
      <c r="AF19" s="1052"/>
      <c r="AG19" s="1052"/>
      <c r="AH19" s="1052">
        <f>año!AE26</f>
        <v>13</v>
      </c>
      <c r="AI19" s="1052"/>
      <c r="AJ19" s="1052"/>
      <c r="AK19" s="1052">
        <f>año!AF26</f>
        <v>14</v>
      </c>
      <c r="AL19" s="1052"/>
      <c r="AM19" s="1052"/>
      <c r="AN19" s="1064">
        <f>año!AG26</f>
        <v>15</v>
      </c>
      <c r="AO19" s="1064"/>
      <c r="AP19" s="1065"/>
    </row>
    <row r="20" spans="2:42" ht="9" customHeight="1">
      <c r="B20" s="350"/>
      <c r="C20" s="349"/>
      <c r="D20" s="349"/>
      <c r="E20" s="349"/>
      <c r="F20" s="349"/>
      <c r="G20" s="349"/>
      <c r="H20" s="349"/>
      <c r="I20" s="349"/>
      <c r="J20" s="349"/>
      <c r="K20" s="349"/>
      <c r="L20" s="349"/>
      <c r="M20" s="349"/>
      <c r="N20" s="349"/>
      <c r="O20" s="349"/>
      <c r="P20" s="349"/>
      <c r="Q20" s="349"/>
      <c r="R20" s="349"/>
      <c r="S20" s="349"/>
      <c r="T20" s="349"/>
      <c r="U20" s="352"/>
      <c r="V20" s="1051"/>
      <c r="W20" s="1052"/>
      <c r="X20" s="1052"/>
      <c r="Y20" s="1052"/>
      <c r="Z20" s="1052"/>
      <c r="AA20" s="1052"/>
      <c r="AB20" s="1052"/>
      <c r="AC20" s="1052"/>
      <c r="AD20" s="1052"/>
      <c r="AE20" s="1052"/>
      <c r="AF20" s="1052"/>
      <c r="AG20" s="1052"/>
      <c r="AH20" s="1052"/>
      <c r="AI20" s="1052"/>
      <c r="AJ20" s="1052"/>
      <c r="AK20" s="1052"/>
      <c r="AL20" s="1052"/>
      <c r="AM20" s="1052"/>
      <c r="AN20" s="1064"/>
      <c r="AO20" s="1064"/>
      <c r="AP20" s="1065"/>
    </row>
    <row r="21" spans="2:42" ht="9" customHeight="1">
      <c r="B21" s="350"/>
      <c r="C21" s="349"/>
      <c r="D21" s="349"/>
      <c r="E21" s="349"/>
      <c r="F21" s="349"/>
      <c r="G21" s="349"/>
      <c r="H21" s="349"/>
      <c r="I21" s="349"/>
      <c r="J21" s="349"/>
      <c r="K21" s="349"/>
      <c r="L21" s="349"/>
      <c r="M21" s="349"/>
      <c r="N21" s="349"/>
      <c r="O21" s="349"/>
      <c r="P21" s="349"/>
      <c r="Q21" s="349"/>
      <c r="R21" s="349"/>
      <c r="S21" s="349"/>
      <c r="T21" s="349"/>
      <c r="U21" s="352"/>
      <c r="V21" s="1051"/>
      <c r="W21" s="1052"/>
      <c r="X21" s="1052"/>
      <c r="Y21" s="1052"/>
      <c r="Z21" s="1052"/>
      <c r="AA21" s="1052"/>
      <c r="AB21" s="1052"/>
      <c r="AC21" s="1052"/>
      <c r="AD21" s="1052"/>
      <c r="AE21" s="1052"/>
      <c r="AF21" s="1052"/>
      <c r="AG21" s="1052"/>
      <c r="AH21" s="1052"/>
      <c r="AI21" s="1052"/>
      <c r="AJ21" s="1052"/>
      <c r="AK21" s="1052"/>
      <c r="AL21" s="1052"/>
      <c r="AM21" s="1052"/>
      <c r="AN21" s="1064"/>
      <c r="AO21" s="1064"/>
      <c r="AP21" s="1065"/>
    </row>
    <row r="22" spans="2:42" ht="9" customHeight="1">
      <c r="B22" s="350"/>
      <c r="C22" s="349"/>
      <c r="D22" s="349"/>
      <c r="E22" s="349"/>
      <c r="F22" s="349"/>
      <c r="G22" s="349"/>
      <c r="H22" s="349"/>
      <c r="I22" s="349"/>
      <c r="J22" s="349"/>
      <c r="K22" s="349"/>
      <c r="L22" s="349"/>
      <c r="M22" s="349"/>
      <c r="N22" s="349"/>
      <c r="O22" s="349"/>
      <c r="P22" s="349"/>
      <c r="Q22" s="349"/>
      <c r="R22" s="349"/>
      <c r="S22" s="349"/>
      <c r="T22" s="349"/>
      <c r="U22" s="352"/>
      <c r="V22" s="1049" t="str">
        <f>IF(V19&lt;&gt;" ",VLOOKUP(V19,$F$40:$H$70,2)," ")</f>
        <v>Leocadia</v>
      </c>
      <c r="W22" s="1050"/>
      <c r="X22" s="1050"/>
      <c r="Y22" s="1050" t="str">
        <f>IF(Y19&lt;&gt;" ",VLOOKUP(Y19,$F$40:$H$70,2)," ")</f>
        <v>N.S.Loreto</v>
      </c>
      <c r="Z22" s="1050"/>
      <c r="AA22" s="1050"/>
      <c r="AB22" s="1050" t="str">
        <f>IF(AB19&lt;&gt;" ",VLOOKUP(AB19,$F$40:$H$70,2)," ")</f>
        <v>Dámaso</v>
      </c>
      <c r="AC22" s="1050"/>
      <c r="AD22" s="1050"/>
      <c r="AE22" s="1050" t="str">
        <f>IF(AE19&lt;&gt;" ",VLOOKUP(AE19,$F$40:$H$70,2)," ")</f>
        <v>N.S.Guadalupe</v>
      </c>
      <c r="AF22" s="1050"/>
      <c r="AG22" s="1050"/>
      <c r="AH22" s="1050" t="str">
        <f>IF(AH19&lt;&gt;" ",VLOOKUP(AH19,$F$40:$H$70,2)," ")</f>
        <v>Lucía</v>
      </c>
      <c r="AI22" s="1050"/>
      <c r="AJ22" s="1050"/>
      <c r="AK22" s="1050" t="str">
        <f>IF(AK19&lt;&gt;" ",VLOOKUP(AK19,$F$40:$H$70,2)," ")</f>
        <v>Juan de la Cruz</v>
      </c>
      <c r="AL22" s="1050"/>
      <c r="AM22" s="1050"/>
      <c r="AN22" s="1050" t="str">
        <f>IF(AN19&lt;&gt;" ",VLOOKUP(AN19,$F$40:$H$70,2)," ")</f>
        <v>Valeriano</v>
      </c>
      <c r="AO22" s="1050"/>
      <c r="AP22" s="1066"/>
    </row>
    <row r="23" spans="2:42" ht="9" customHeight="1">
      <c r="B23" s="350"/>
      <c r="C23" s="349"/>
      <c r="D23" s="349"/>
      <c r="E23" s="349"/>
      <c r="F23" s="349"/>
      <c r="G23" s="349"/>
      <c r="H23" s="349"/>
      <c r="I23" s="349"/>
      <c r="J23" s="349"/>
      <c r="K23" s="349"/>
      <c r="L23" s="349"/>
      <c r="M23" s="349"/>
      <c r="N23" s="349"/>
      <c r="O23" s="349"/>
      <c r="P23" s="349"/>
      <c r="Q23" s="349"/>
      <c r="R23" s="349"/>
      <c r="S23" s="349"/>
      <c r="T23" s="349"/>
      <c r="U23" s="352"/>
      <c r="V23" s="1051">
        <f>año!AA27</f>
        <v>16</v>
      </c>
      <c r="W23" s="1052"/>
      <c r="X23" s="1052"/>
      <c r="Y23" s="1052">
        <f>año!AB27</f>
        <v>17</v>
      </c>
      <c r="Z23" s="1052"/>
      <c r="AA23" s="1052"/>
      <c r="AB23" s="1052">
        <f>año!AC27</f>
        <v>18</v>
      </c>
      <c r="AC23" s="1052"/>
      <c r="AD23" s="1052"/>
      <c r="AE23" s="1052">
        <f>año!AD27</f>
        <v>19</v>
      </c>
      <c r="AF23" s="1052"/>
      <c r="AG23" s="1052"/>
      <c r="AH23" s="1052">
        <f>año!AE27</f>
        <v>20</v>
      </c>
      <c r="AI23" s="1052"/>
      <c r="AJ23" s="1052"/>
      <c r="AK23" s="1052">
        <f>año!AF27</f>
        <v>21</v>
      </c>
      <c r="AL23" s="1052"/>
      <c r="AM23" s="1052"/>
      <c r="AN23" s="1064">
        <f>año!AG27</f>
        <v>22</v>
      </c>
      <c r="AO23" s="1064"/>
      <c r="AP23" s="1065"/>
    </row>
    <row r="24" spans="2:42" ht="9" customHeight="1">
      <c r="B24" s="350"/>
      <c r="C24" s="349"/>
      <c r="D24" s="349"/>
      <c r="E24" s="349"/>
      <c r="F24" s="349"/>
      <c r="G24" s="349"/>
      <c r="H24" s="349"/>
      <c r="I24" s="349"/>
      <c r="J24" s="349"/>
      <c r="K24" s="349"/>
      <c r="L24" s="349"/>
      <c r="M24" s="349"/>
      <c r="N24" s="349"/>
      <c r="O24" s="349"/>
      <c r="P24" s="349"/>
      <c r="Q24" s="349"/>
      <c r="R24" s="349"/>
      <c r="S24" s="349"/>
      <c r="T24" s="349"/>
      <c r="U24" s="352"/>
      <c r="V24" s="1051"/>
      <c r="W24" s="1052"/>
      <c r="X24" s="1052"/>
      <c r="Y24" s="1052"/>
      <c r="Z24" s="1052"/>
      <c r="AA24" s="1052"/>
      <c r="AB24" s="1052"/>
      <c r="AC24" s="1052"/>
      <c r="AD24" s="1052"/>
      <c r="AE24" s="1052"/>
      <c r="AF24" s="1052"/>
      <c r="AG24" s="1052"/>
      <c r="AH24" s="1052"/>
      <c r="AI24" s="1052"/>
      <c r="AJ24" s="1052"/>
      <c r="AK24" s="1052"/>
      <c r="AL24" s="1052"/>
      <c r="AM24" s="1052"/>
      <c r="AN24" s="1064"/>
      <c r="AO24" s="1064"/>
      <c r="AP24" s="1065"/>
    </row>
    <row r="25" spans="2:42" ht="9" customHeight="1">
      <c r="B25" s="350"/>
      <c r="C25" s="349"/>
      <c r="D25" s="349"/>
      <c r="E25" s="349"/>
      <c r="F25" s="349"/>
      <c r="G25" s="349"/>
      <c r="H25" s="349"/>
      <c r="I25" s="349"/>
      <c r="J25" s="349"/>
      <c r="K25" s="349"/>
      <c r="L25" s="349"/>
      <c r="M25" s="349"/>
      <c r="N25" s="349"/>
      <c r="O25" s="349"/>
      <c r="P25" s="349"/>
      <c r="Q25" s="349"/>
      <c r="R25" s="349"/>
      <c r="S25" s="349"/>
      <c r="T25" s="349"/>
      <c r="U25" s="352"/>
      <c r="V25" s="1051"/>
      <c r="W25" s="1052"/>
      <c r="X25" s="1052"/>
      <c r="Y25" s="1052"/>
      <c r="Z25" s="1052"/>
      <c r="AA25" s="1052"/>
      <c r="AB25" s="1052"/>
      <c r="AC25" s="1052"/>
      <c r="AD25" s="1052"/>
      <c r="AE25" s="1052"/>
      <c r="AF25" s="1052"/>
      <c r="AG25" s="1052"/>
      <c r="AH25" s="1052"/>
      <c r="AI25" s="1052"/>
      <c r="AJ25" s="1052"/>
      <c r="AK25" s="1052"/>
      <c r="AL25" s="1052"/>
      <c r="AM25" s="1052"/>
      <c r="AN25" s="1064"/>
      <c r="AO25" s="1064"/>
      <c r="AP25" s="1065"/>
    </row>
    <row r="26" spans="2:42" ht="9" customHeight="1">
      <c r="B26" s="350"/>
      <c r="C26" s="349"/>
      <c r="D26" s="349"/>
      <c r="E26" s="349"/>
      <c r="F26" s="349"/>
      <c r="G26" s="349"/>
      <c r="H26" s="349"/>
      <c r="I26" s="349"/>
      <c r="J26" s="349"/>
      <c r="K26" s="349"/>
      <c r="L26" s="349"/>
      <c r="M26" s="349"/>
      <c r="N26" s="349"/>
      <c r="O26" s="349"/>
      <c r="P26" s="349"/>
      <c r="Q26" s="349"/>
      <c r="R26" s="349"/>
      <c r="S26" s="349"/>
      <c r="T26" s="349"/>
      <c r="U26" s="352"/>
      <c r="V26" s="1049" t="str">
        <f>IF(V23&lt;&gt;" ",VLOOKUP(V23,$F$40:$H$70,2)," ")</f>
        <v>Josep Manyanet</v>
      </c>
      <c r="W26" s="1050"/>
      <c r="X26" s="1050"/>
      <c r="Y26" s="1050" t="str">
        <f>IF(Y23&lt;&gt;" ",VLOOKUP(Y23,$F$40:$H$70,2)," ")</f>
        <v>Lázaro</v>
      </c>
      <c r="Z26" s="1050"/>
      <c r="AA26" s="1050"/>
      <c r="AB26" s="1050" t="str">
        <f>IF(AB23&lt;&gt;" ",VLOOKUP(AB23,$F$40:$H$70,2)," ")</f>
        <v>Esperanza</v>
      </c>
      <c r="AC26" s="1050"/>
      <c r="AD26" s="1050"/>
      <c r="AE26" s="1050" t="str">
        <f>IF(AE23&lt;&gt;" ",VLOOKUP(AE23,$F$40:$H$70,2)," ")</f>
        <v>Urbano</v>
      </c>
      <c r="AF26" s="1050"/>
      <c r="AG26" s="1050"/>
      <c r="AH26" s="1050" t="str">
        <f>IF(AH23&lt;&gt;" ",VLOOKUP(AH23,$F$40:$H$70,2)," ")</f>
        <v>Domingo Silos</v>
      </c>
      <c r="AI26" s="1050"/>
      <c r="AJ26" s="1050"/>
      <c r="AK26" s="1050" t="str">
        <f>IF(AK23&lt;&gt;" ",VLOOKUP(AK23,$F$40:$H$70,2)," ")</f>
        <v>Pedro Canisio</v>
      </c>
      <c r="AL26" s="1050"/>
      <c r="AM26" s="1050"/>
      <c r="AN26" s="1050" t="str">
        <f>IF(AN23&lt;&gt;" ",VLOOKUP(AN23,$F$40:$H$70,2)," ")</f>
        <v>Desiderio</v>
      </c>
      <c r="AO26" s="1050"/>
      <c r="AP26" s="1066"/>
    </row>
    <row r="27" spans="2:42" ht="9" customHeight="1">
      <c r="B27" s="350"/>
      <c r="C27" s="349"/>
      <c r="D27" s="349"/>
      <c r="E27" s="349"/>
      <c r="F27" s="349"/>
      <c r="G27" s="349"/>
      <c r="H27" s="349"/>
      <c r="I27" s="349"/>
      <c r="J27" s="349"/>
      <c r="K27" s="349"/>
      <c r="L27" s="349"/>
      <c r="M27" s="349"/>
      <c r="N27" s="349"/>
      <c r="O27" s="349"/>
      <c r="P27" s="349"/>
      <c r="Q27" s="349"/>
      <c r="R27" s="349"/>
      <c r="S27" s="349"/>
      <c r="T27" s="349"/>
      <c r="U27" s="352"/>
      <c r="V27" s="1071">
        <f>año!AA28</f>
        <v>23</v>
      </c>
      <c r="W27" s="1072"/>
      <c r="X27" s="1072"/>
      <c r="Y27" s="1052">
        <f>año!AB28</f>
        <v>24</v>
      </c>
      <c r="Z27" s="1052"/>
      <c r="AA27" s="1052"/>
      <c r="AB27" s="1052">
        <f>año!AC28</f>
        <v>25</v>
      </c>
      <c r="AC27" s="1052"/>
      <c r="AD27" s="1052"/>
      <c r="AE27" s="1052">
        <f>año!AD28</f>
        <v>26</v>
      </c>
      <c r="AF27" s="1052"/>
      <c r="AG27" s="1052"/>
      <c r="AH27" s="1052">
        <f>año!AE28</f>
        <v>27</v>
      </c>
      <c r="AI27" s="1052"/>
      <c r="AJ27" s="1052"/>
      <c r="AK27" s="1052">
        <f>año!AF28</f>
        <v>28</v>
      </c>
      <c r="AL27" s="1052"/>
      <c r="AM27" s="1052"/>
      <c r="AN27" s="1064">
        <f>año!AG28</f>
        <v>29</v>
      </c>
      <c r="AO27" s="1064"/>
      <c r="AP27" s="1065"/>
    </row>
    <row r="28" spans="2:42" ht="9" customHeight="1">
      <c r="B28" s="350"/>
      <c r="C28" s="349"/>
      <c r="D28" s="349"/>
      <c r="E28" s="349"/>
      <c r="F28" s="349"/>
      <c r="G28" s="349"/>
      <c r="H28" s="349"/>
      <c r="I28" s="349"/>
      <c r="J28" s="349"/>
      <c r="K28" s="349"/>
      <c r="L28" s="349"/>
      <c r="M28" s="349"/>
      <c r="N28" s="349"/>
      <c r="O28" s="349"/>
      <c r="P28" s="349"/>
      <c r="Q28" s="349"/>
      <c r="R28" s="349"/>
      <c r="S28" s="349"/>
      <c r="T28" s="349"/>
      <c r="U28" s="352"/>
      <c r="V28" s="1071"/>
      <c r="W28" s="1072"/>
      <c r="X28" s="1072"/>
      <c r="Y28" s="1052"/>
      <c r="Z28" s="1052"/>
      <c r="AA28" s="1052"/>
      <c r="AB28" s="1052"/>
      <c r="AC28" s="1052"/>
      <c r="AD28" s="1052"/>
      <c r="AE28" s="1052"/>
      <c r="AF28" s="1052"/>
      <c r="AG28" s="1052"/>
      <c r="AH28" s="1052"/>
      <c r="AI28" s="1052"/>
      <c r="AJ28" s="1052"/>
      <c r="AK28" s="1052"/>
      <c r="AL28" s="1052"/>
      <c r="AM28" s="1052"/>
      <c r="AN28" s="1064"/>
      <c r="AO28" s="1064"/>
      <c r="AP28" s="1065"/>
    </row>
    <row r="29" spans="2:42" ht="9" customHeight="1">
      <c r="B29" s="350"/>
      <c r="C29" s="349"/>
      <c r="D29" s="349"/>
      <c r="E29" s="349"/>
      <c r="F29" s="349"/>
      <c r="G29" s="349"/>
      <c r="H29" s="349"/>
      <c r="I29" s="349"/>
      <c r="J29" s="349"/>
      <c r="K29" s="349"/>
      <c r="L29" s="349"/>
      <c r="M29" s="349"/>
      <c r="N29" s="349"/>
      <c r="O29" s="349"/>
      <c r="P29" s="349"/>
      <c r="Q29" s="349"/>
      <c r="R29" s="349"/>
      <c r="S29" s="349"/>
      <c r="T29" s="349"/>
      <c r="U29" s="352"/>
      <c r="V29" s="1071"/>
      <c r="W29" s="1072"/>
      <c r="X29" s="1072"/>
      <c r="Y29" s="1052"/>
      <c r="Z29" s="1052"/>
      <c r="AA29" s="1052"/>
      <c r="AB29" s="1052"/>
      <c r="AC29" s="1052"/>
      <c r="AD29" s="1052"/>
      <c r="AE29" s="1052"/>
      <c r="AF29" s="1052"/>
      <c r="AG29" s="1052"/>
      <c r="AH29" s="1052"/>
      <c r="AI29" s="1052"/>
      <c r="AJ29" s="1052"/>
      <c r="AK29" s="1052"/>
      <c r="AL29" s="1052"/>
      <c r="AM29" s="1052"/>
      <c r="AN29" s="1064"/>
      <c r="AO29" s="1064"/>
      <c r="AP29" s="1065"/>
    </row>
    <row r="30" spans="2:42" ht="9" customHeight="1">
      <c r="B30" s="1082" t="s">
        <v>1003</v>
      </c>
      <c r="C30" s="1083"/>
      <c r="D30" s="1083"/>
      <c r="E30" s="1083"/>
      <c r="F30" s="1083"/>
      <c r="G30" s="1083"/>
      <c r="H30" s="1083"/>
      <c r="I30" s="1083"/>
      <c r="J30" s="1083"/>
      <c r="K30" s="1083"/>
      <c r="L30" s="1083"/>
      <c r="M30" s="1083"/>
      <c r="N30" s="1083"/>
      <c r="O30" s="1083"/>
      <c r="P30" s="1083"/>
      <c r="Q30" s="1083"/>
      <c r="R30" s="1083"/>
      <c r="S30" s="1083"/>
      <c r="T30" s="1083"/>
      <c r="U30" s="1084"/>
      <c r="V30" s="1049" t="str">
        <f>IF(V27&lt;&gt;" ",VLOOKUP(V27,$F$40:$H$70,2)," ")</f>
        <v>Victoria</v>
      </c>
      <c r="W30" s="1050"/>
      <c r="X30" s="1050"/>
      <c r="Y30" s="1050" t="str">
        <f>IF(Y27&lt;&gt;" ",VLOOKUP(Y27,$F$40:$H$70,2)," ")</f>
        <v>Delfín</v>
      </c>
      <c r="Z30" s="1050"/>
      <c r="AA30" s="1050"/>
      <c r="AB30" s="1050" t="str">
        <f>IF(AB27&lt;&gt;" ",VLOOKUP(AB27,$F$40:$H$70,2)," ")</f>
        <v>Natividad</v>
      </c>
      <c r="AC30" s="1050"/>
      <c r="AD30" s="1050"/>
      <c r="AE30" s="1050" t="str">
        <f>IF(AE27&lt;&gt;" ",VLOOKUP(AE27,$F$40:$H$70,2)," ")</f>
        <v>Esteban</v>
      </c>
      <c r="AF30" s="1050"/>
      <c r="AG30" s="1050"/>
      <c r="AH30" s="1050" t="str">
        <f>IF(AH27&lt;&gt;" ",VLOOKUP(AH27,$F$40:$H$70,2)," ")</f>
        <v>Juan Evang.</v>
      </c>
      <c r="AI30" s="1050"/>
      <c r="AJ30" s="1050"/>
      <c r="AK30" s="1050" t="str">
        <f>IF(AK27&lt;&gt;" ",VLOOKUP(AK27,$F$40:$H$70,2)," ")</f>
        <v>Inocentes</v>
      </c>
      <c r="AL30" s="1050"/>
      <c r="AM30" s="1050"/>
      <c r="AN30" s="1050" t="str">
        <f>IF(AN27&lt;&gt;" ",VLOOKUP(AN27,$F$40:$H$70,2)," ")</f>
        <v>Tomás Becket</v>
      </c>
      <c r="AO30" s="1050"/>
      <c r="AP30" s="1066"/>
    </row>
    <row r="31" spans="2:42" ht="10.5" customHeight="1">
      <c r="B31" s="1082"/>
      <c r="C31" s="1083"/>
      <c r="D31" s="1083"/>
      <c r="E31" s="1083"/>
      <c r="F31" s="1083"/>
      <c r="G31" s="1083"/>
      <c r="H31" s="1083"/>
      <c r="I31" s="1083"/>
      <c r="J31" s="1083"/>
      <c r="K31" s="1083"/>
      <c r="L31" s="1083"/>
      <c r="M31" s="1083"/>
      <c r="N31" s="1083"/>
      <c r="O31" s="1083"/>
      <c r="P31" s="1083"/>
      <c r="Q31" s="1083"/>
      <c r="R31" s="1083"/>
      <c r="S31" s="1083"/>
      <c r="T31" s="1083"/>
      <c r="U31" s="1084"/>
      <c r="V31" s="1051">
        <f>año!AA29</f>
        <v>30</v>
      </c>
      <c r="W31" s="1052"/>
      <c r="X31" s="1052"/>
      <c r="Y31" s="1052">
        <f>año!AB29</f>
        <v>31</v>
      </c>
      <c r="Z31" s="1052"/>
      <c r="AA31" s="1052"/>
      <c r="AB31" s="1052" t="str">
        <f>año!AC29</f>
        <v xml:space="preserve"> </v>
      </c>
      <c r="AC31" s="1052"/>
      <c r="AD31" s="1052"/>
      <c r="AE31" s="197"/>
      <c r="AF31" s="198"/>
      <c r="AG31" s="199"/>
      <c r="AH31" s="198"/>
      <c r="AI31" s="198"/>
      <c r="AJ31" s="199"/>
      <c r="AK31" s="198"/>
      <c r="AL31" s="198"/>
      <c r="AM31" s="199"/>
      <c r="AN31" s="197"/>
      <c r="AO31" s="198"/>
      <c r="AP31" s="199"/>
    </row>
    <row r="32" spans="2:42" ht="10.5" customHeight="1">
      <c r="B32" s="1082"/>
      <c r="C32" s="1085"/>
      <c r="D32" s="1085"/>
      <c r="E32" s="1085"/>
      <c r="F32" s="1085"/>
      <c r="G32" s="1085"/>
      <c r="H32" s="1085"/>
      <c r="I32" s="1085"/>
      <c r="J32" s="1085"/>
      <c r="K32" s="1085"/>
      <c r="L32" s="1085"/>
      <c r="M32" s="1085"/>
      <c r="N32" s="1085"/>
      <c r="O32" s="1085"/>
      <c r="P32" s="1085"/>
      <c r="Q32" s="1085"/>
      <c r="R32" s="1085"/>
      <c r="S32" s="1085"/>
      <c r="T32" s="1085"/>
      <c r="U32" s="1084"/>
      <c r="V32" s="1051"/>
      <c r="W32" s="1052"/>
      <c r="X32" s="1052"/>
      <c r="Y32" s="1052"/>
      <c r="Z32" s="1052"/>
      <c r="AA32" s="1052"/>
      <c r="AB32" s="1052"/>
      <c r="AC32" s="1052"/>
      <c r="AD32" s="1052"/>
      <c r="AE32" s="198"/>
      <c r="AF32" s="198"/>
      <c r="AG32" s="199" t="s">
        <v>247</v>
      </c>
      <c r="AH32" s="198"/>
      <c r="AI32" s="198"/>
      <c r="AJ32" s="199" t="s">
        <v>247</v>
      </c>
      <c r="AK32" s="198"/>
      <c r="AL32" s="198"/>
      <c r="AM32" s="199" t="s">
        <v>247</v>
      </c>
      <c r="AN32" s="198"/>
      <c r="AO32" s="198"/>
      <c r="AP32" s="199" t="s">
        <v>247</v>
      </c>
    </row>
    <row r="33" spans="1:42" ht="10.5" customHeight="1">
      <c r="B33" s="1086"/>
      <c r="C33" s="1087"/>
      <c r="D33" s="1087"/>
      <c r="E33" s="1087"/>
      <c r="F33" s="1087"/>
      <c r="G33" s="1087"/>
      <c r="H33" s="1087"/>
      <c r="I33" s="1087"/>
      <c r="J33" s="1087"/>
      <c r="K33" s="1087"/>
      <c r="L33" s="1087"/>
      <c r="M33" s="1087"/>
      <c r="N33" s="1087"/>
      <c r="O33" s="1087"/>
      <c r="P33" s="1087"/>
      <c r="Q33" s="1087"/>
      <c r="R33" s="1087"/>
      <c r="S33" s="1087"/>
      <c r="T33" s="1087"/>
      <c r="U33" s="1088"/>
      <c r="V33" s="1051"/>
      <c r="W33" s="1052"/>
      <c r="X33" s="1052"/>
      <c r="Y33" s="1052"/>
      <c r="Z33" s="1052"/>
      <c r="AA33" s="1052"/>
      <c r="AB33" s="1052"/>
      <c r="AC33" s="1052"/>
      <c r="AD33" s="1052"/>
      <c r="AE33" s="200"/>
      <c r="AF33" s="1067">
        <f>luna!$O$74</f>
        <v>16</v>
      </c>
      <c r="AG33" s="1068"/>
      <c r="AH33" s="387"/>
      <c r="AI33" s="1073">
        <f>luna!$R$74</f>
        <v>23</v>
      </c>
      <c r="AJ33" s="1068"/>
      <c r="AK33" s="387"/>
      <c r="AL33" s="1073">
        <f>luna!$Q$74</f>
        <v>2</v>
      </c>
      <c r="AM33" s="1068"/>
      <c r="AN33" s="387"/>
      <c r="AO33" s="1067">
        <f>luna!$P$74</f>
        <v>9</v>
      </c>
      <c r="AP33" s="1068"/>
    </row>
    <row r="34" spans="1:42" ht="9" customHeight="1">
      <c r="B34" s="696"/>
      <c r="C34" s="180"/>
      <c r="D34" s="180"/>
      <c r="E34" s="180"/>
      <c r="F34" s="180"/>
      <c r="G34" s="180"/>
      <c r="H34" s="180"/>
      <c r="I34" s="180"/>
      <c r="J34" s="180"/>
      <c r="K34" s="180"/>
      <c r="L34" s="180"/>
      <c r="M34" s="180"/>
      <c r="N34" s="180"/>
      <c r="O34" s="180"/>
      <c r="P34" s="180"/>
      <c r="Q34" s="180"/>
      <c r="R34" s="180"/>
      <c r="S34" s="180"/>
      <c r="T34" s="180"/>
      <c r="U34" s="181"/>
      <c r="V34" s="1049" t="str">
        <f>IF(V31&lt;&gt;" ",VLOOKUP(V31,$F$40:$H$70,2)," ")</f>
        <v>Raúl</v>
      </c>
      <c r="W34" s="1050"/>
      <c r="X34" s="1050"/>
      <c r="Y34" s="1050" t="str">
        <f>IF(Y31&lt;&gt;" ",VLOOKUP(Y31,$F$40:$H$70,2)," ")</f>
        <v>Sivestre</v>
      </c>
      <c r="Z34" s="1050"/>
      <c r="AA34" s="1050"/>
      <c r="AB34" s="182"/>
      <c r="AC34" s="182"/>
      <c r="AD34" s="182"/>
      <c r="AE34" s="1078" t="s">
        <v>597</v>
      </c>
      <c r="AF34" s="1079"/>
      <c r="AG34" s="1080"/>
      <c r="AH34" s="1081" t="s">
        <v>598</v>
      </c>
      <c r="AI34" s="1081"/>
      <c r="AJ34" s="1081"/>
      <c r="AK34" s="1081" t="s">
        <v>599</v>
      </c>
      <c r="AL34" s="1081"/>
      <c r="AM34" s="1081"/>
      <c r="AN34" s="1081" t="s">
        <v>600</v>
      </c>
      <c r="AO34" s="1081"/>
      <c r="AP34" s="1081"/>
    </row>
    <row r="35" spans="1:42" ht="13.8" thickBot="1">
      <c r="B35" s="172">
        <v>6</v>
      </c>
      <c r="C35" s="174" t="s">
        <v>393</v>
      </c>
      <c r="D35" s="698"/>
      <c r="E35" s="698"/>
      <c r="F35" s="698"/>
      <c r="G35" s="698"/>
      <c r="H35" s="172">
        <v>25</v>
      </c>
      <c r="I35" s="174" t="s">
        <v>413</v>
      </c>
      <c r="J35" s="698"/>
      <c r="K35" s="698"/>
      <c r="L35" s="174" t="s">
        <v>381</v>
      </c>
      <c r="M35" s="1076">
        <v>40170</v>
      </c>
      <c r="N35" s="1077"/>
      <c r="O35" s="174" t="s">
        <v>222</v>
      </c>
      <c r="P35" s="1076">
        <v>39819</v>
      </c>
      <c r="Q35" s="1077"/>
      <c r="R35" s="174" t="s">
        <v>414</v>
      </c>
      <c r="S35" s="174"/>
      <c r="T35" s="174"/>
      <c r="U35" s="174"/>
      <c r="V35" s="174"/>
      <c r="W35" s="698"/>
      <c r="X35" s="413">
        <v>18</v>
      </c>
      <c r="Y35" s="413">
        <f>X35+1</f>
        <v>19</v>
      </c>
      <c r="Z35" s="174" t="s">
        <v>375</v>
      </c>
      <c r="AA35" s="163"/>
      <c r="AB35" s="163"/>
      <c r="AC35" s="163"/>
      <c r="AD35" s="163"/>
      <c r="AE35" s="163"/>
      <c r="AF35" s="163"/>
      <c r="AG35" s="163"/>
      <c r="AH35" s="163"/>
      <c r="AI35" s="163"/>
      <c r="AJ35" s="163"/>
      <c r="AK35" s="163"/>
      <c r="AL35" s="163"/>
      <c r="AM35" s="163"/>
      <c r="AN35" s="163"/>
      <c r="AO35" s="163"/>
      <c r="AP35" s="164"/>
    </row>
    <row r="36" spans="1:42" ht="16.2" thickBot="1">
      <c r="B36" s="172">
        <v>8</v>
      </c>
      <c r="C36" s="173" t="s">
        <v>394</v>
      </c>
      <c r="D36" s="699"/>
      <c r="E36" s="699"/>
      <c r="F36" s="699"/>
      <c r="G36" s="699"/>
      <c r="H36" s="414">
        <v>26</v>
      </c>
      <c r="I36" s="173" t="s">
        <v>395</v>
      </c>
      <c r="J36" s="699"/>
      <c r="K36" s="699"/>
      <c r="L36" s="172">
        <v>1</v>
      </c>
      <c r="M36" s="412" t="s">
        <v>396</v>
      </c>
      <c r="N36" s="699"/>
      <c r="O36" s="699"/>
      <c r="P36" s="699"/>
      <c r="Q36" s="699"/>
      <c r="R36" s="699"/>
      <c r="S36" s="172">
        <v>1</v>
      </c>
      <c r="T36" s="1069" t="s">
        <v>969</v>
      </c>
      <c r="U36" s="1070"/>
      <c r="V36" s="1070"/>
      <c r="W36" s="1070"/>
      <c r="X36" s="1070"/>
      <c r="Y36" s="165"/>
      <c r="Z36" s="165"/>
      <c r="AA36" s="1089" t="s">
        <v>412</v>
      </c>
      <c r="AB36" s="1090"/>
      <c r="AC36" s="1090"/>
      <c r="AD36" s="1090"/>
      <c r="AE36" s="1090"/>
      <c r="AF36" s="1090"/>
      <c r="AG36" s="1091"/>
      <c r="AH36" s="165"/>
      <c r="AI36" s="1092" t="s">
        <v>411</v>
      </c>
      <c r="AJ36" s="1093"/>
      <c r="AK36" s="1093"/>
      <c r="AL36" s="1093"/>
      <c r="AM36" s="1093"/>
      <c r="AN36" s="1093"/>
      <c r="AO36" s="1094"/>
      <c r="AP36" s="166"/>
    </row>
    <row r="37" spans="1:42">
      <c r="B37" s="414">
        <v>7</v>
      </c>
      <c r="C37" s="697" t="s">
        <v>963</v>
      </c>
      <c r="D37" s="700"/>
      <c r="E37" s="700"/>
      <c r="F37" s="700"/>
      <c r="G37" s="700"/>
      <c r="H37" s="700"/>
      <c r="I37" s="700"/>
      <c r="J37" s="700"/>
      <c r="K37" s="700"/>
      <c r="L37" s="203">
        <v>11</v>
      </c>
      <c r="M37" s="617" t="s">
        <v>76</v>
      </c>
      <c r="N37" s="700"/>
      <c r="O37" s="700"/>
      <c r="P37" s="700"/>
      <c r="Q37" s="700"/>
      <c r="R37" s="700"/>
      <c r="S37" s="172">
        <v>6</v>
      </c>
      <c r="T37" s="1074" t="s">
        <v>970</v>
      </c>
      <c r="U37" s="1075"/>
      <c r="V37" s="1075"/>
      <c r="W37" s="1075"/>
      <c r="X37" s="1075"/>
      <c r="Y37" s="168"/>
      <c r="Z37" s="168"/>
      <c r="AA37" s="168"/>
      <c r="AB37" s="168"/>
      <c r="AC37" s="168"/>
      <c r="AD37" s="168"/>
      <c r="AE37" s="168"/>
      <c r="AF37" s="168"/>
      <c r="AG37" s="168"/>
      <c r="AH37" s="168"/>
      <c r="AI37" s="168"/>
      <c r="AJ37" s="168"/>
      <c r="AK37" s="168"/>
      <c r="AL37" s="168"/>
      <c r="AM37" s="168"/>
      <c r="AN37" s="168"/>
      <c r="AO37" s="168"/>
      <c r="AP37" s="169"/>
    </row>
    <row r="38" spans="1:42" hidden="1">
      <c r="U38" s="32"/>
      <c r="V38" s="32"/>
      <c r="W38" s="31"/>
      <c r="X38" s="31"/>
      <c r="AB38">
        <f>IF(AO5&gt;15,AO5,AO6)</f>
        <v>18</v>
      </c>
      <c r="AH38">
        <f>FEBRERO!AM39</f>
        <v>0</v>
      </c>
      <c r="AI38">
        <f>FEBRERO!AN39</f>
        <v>0</v>
      </c>
      <c r="AJ38" s="138">
        <f>FEBRERO!AO39</f>
        <v>0</v>
      </c>
    </row>
    <row r="39" spans="1:42" hidden="1">
      <c r="U39" s="32"/>
      <c r="V39" s="32"/>
      <c r="W39" s="30"/>
      <c r="X39" s="30"/>
      <c r="AB39">
        <f>AB38+1</f>
        <v>19</v>
      </c>
      <c r="AJ39">
        <f>MOD(calendario!$AC$18+31,7)</f>
        <v>3</v>
      </c>
    </row>
    <row r="40" spans="1:42" ht="14.4" hidden="1">
      <c r="A40" s="337"/>
      <c r="F40" s="175">
        <v>1</v>
      </c>
      <c r="G40" s="175" t="s">
        <v>574</v>
      </c>
      <c r="U40" s="32"/>
      <c r="V40" s="32"/>
      <c r="W40" s="30"/>
      <c r="X40" s="30"/>
    </row>
    <row r="41" spans="1:42" ht="14.4" hidden="1">
      <c r="A41" s="337"/>
      <c r="F41" s="175">
        <v>2</v>
      </c>
      <c r="G41" s="175" t="s">
        <v>716</v>
      </c>
    </row>
    <row r="42" spans="1:42" ht="14.4" hidden="1">
      <c r="A42" s="337"/>
      <c r="F42" s="175">
        <v>3</v>
      </c>
      <c r="G42" s="175" t="s">
        <v>729</v>
      </c>
    </row>
    <row r="43" spans="1:42" ht="14.4" hidden="1">
      <c r="A43" s="337"/>
      <c r="F43" s="175">
        <v>4</v>
      </c>
      <c r="G43" s="175" t="s">
        <v>717</v>
      </c>
    </row>
    <row r="44" spans="1:42" ht="14.4" hidden="1">
      <c r="A44" s="337"/>
      <c r="F44" s="175">
        <v>5</v>
      </c>
      <c r="G44" s="175" t="s">
        <v>718</v>
      </c>
    </row>
    <row r="45" spans="1:42" ht="14.4" hidden="1">
      <c r="A45" s="337"/>
      <c r="F45" s="175">
        <v>6</v>
      </c>
      <c r="G45" s="175" t="s">
        <v>582</v>
      </c>
    </row>
    <row r="46" spans="1:42" ht="14.4" hidden="1">
      <c r="A46" s="337"/>
      <c r="F46" s="175">
        <v>7</v>
      </c>
      <c r="G46" s="175" t="s">
        <v>583</v>
      </c>
    </row>
    <row r="47" spans="1:42" ht="14.4" hidden="1">
      <c r="A47" s="337"/>
      <c r="F47" s="175">
        <v>8</v>
      </c>
      <c r="G47" s="175" t="s">
        <v>394</v>
      </c>
    </row>
    <row r="48" spans="1:42" ht="14.4" hidden="1">
      <c r="A48" s="337"/>
      <c r="F48" s="175">
        <v>9</v>
      </c>
      <c r="G48" s="175" t="s">
        <v>584</v>
      </c>
    </row>
    <row r="49" spans="1:7" ht="14.4" hidden="1">
      <c r="A49" s="337"/>
      <c r="F49" s="175">
        <v>10</v>
      </c>
      <c r="G49" s="175" t="s">
        <v>585</v>
      </c>
    </row>
    <row r="50" spans="1:7" ht="14.4" hidden="1">
      <c r="A50" s="337"/>
      <c r="F50" s="175">
        <v>11</v>
      </c>
      <c r="G50" s="175" t="s">
        <v>586</v>
      </c>
    </row>
    <row r="51" spans="1:7" ht="14.4" hidden="1">
      <c r="A51" s="337"/>
      <c r="F51" s="175">
        <v>12</v>
      </c>
      <c r="G51" s="175" t="s">
        <v>587</v>
      </c>
    </row>
    <row r="52" spans="1:7" ht="14.4" hidden="1">
      <c r="A52" s="337"/>
      <c r="F52" s="175">
        <v>13</v>
      </c>
      <c r="G52" s="175" t="s">
        <v>588</v>
      </c>
    </row>
    <row r="53" spans="1:7" ht="14.4" hidden="1">
      <c r="A53" s="337"/>
      <c r="F53" s="175">
        <v>14</v>
      </c>
      <c r="G53" s="175" t="s">
        <v>719</v>
      </c>
    </row>
    <row r="54" spans="1:7" ht="14.4" hidden="1">
      <c r="A54" s="337"/>
      <c r="F54" s="175">
        <v>15</v>
      </c>
      <c r="G54" s="175" t="s">
        <v>720</v>
      </c>
    </row>
    <row r="55" spans="1:7" ht="14.4" hidden="1">
      <c r="A55" s="337"/>
      <c r="F55" s="175">
        <v>16</v>
      </c>
      <c r="G55" s="175" t="s">
        <v>721</v>
      </c>
    </row>
    <row r="56" spans="1:7" ht="14.4" hidden="1">
      <c r="A56" s="337"/>
      <c r="F56" s="175">
        <v>17</v>
      </c>
      <c r="G56" s="175" t="s">
        <v>589</v>
      </c>
    </row>
    <row r="57" spans="1:7" ht="14.4" hidden="1">
      <c r="A57" s="337"/>
      <c r="F57" s="175">
        <v>18</v>
      </c>
      <c r="G57" s="175" t="s">
        <v>590</v>
      </c>
    </row>
    <row r="58" spans="1:7" ht="14.4" hidden="1">
      <c r="A58" s="337"/>
      <c r="F58" s="175">
        <v>19</v>
      </c>
      <c r="G58" s="175" t="s">
        <v>722</v>
      </c>
    </row>
    <row r="59" spans="1:7" ht="14.4" hidden="1">
      <c r="A59" s="337"/>
      <c r="F59" s="175">
        <v>20</v>
      </c>
      <c r="G59" s="175" t="s">
        <v>723</v>
      </c>
    </row>
    <row r="60" spans="1:7" ht="14.4" hidden="1">
      <c r="A60" s="337"/>
      <c r="F60" s="175">
        <v>21</v>
      </c>
      <c r="G60" s="175" t="s">
        <v>724</v>
      </c>
    </row>
    <row r="61" spans="1:7" ht="14.4" hidden="1">
      <c r="A61" s="337"/>
      <c r="F61" s="175">
        <v>22</v>
      </c>
      <c r="G61" s="175" t="s">
        <v>725</v>
      </c>
    </row>
    <row r="62" spans="1:7" ht="14.4" hidden="1">
      <c r="A62" s="337"/>
      <c r="F62" s="175">
        <v>23</v>
      </c>
      <c r="G62" s="175" t="s">
        <v>591</v>
      </c>
    </row>
    <row r="63" spans="1:7" ht="14.4" hidden="1">
      <c r="A63" s="337"/>
      <c r="F63" s="175">
        <v>24</v>
      </c>
      <c r="G63" s="175" t="s">
        <v>726</v>
      </c>
    </row>
    <row r="64" spans="1:7" ht="14.4" hidden="1">
      <c r="A64" s="337"/>
      <c r="F64" s="175">
        <v>25</v>
      </c>
      <c r="G64" s="175" t="s">
        <v>592</v>
      </c>
    </row>
    <row r="65" spans="1:7" ht="14.4" hidden="1">
      <c r="A65" s="337"/>
      <c r="F65" s="175">
        <v>26</v>
      </c>
      <c r="G65" s="175" t="s">
        <v>593</v>
      </c>
    </row>
    <row r="66" spans="1:7" ht="14.4" hidden="1">
      <c r="A66" s="337"/>
      <c r="F66" s="175">
        <v>27</v>
      </c>
      <c r="G66" s="175" t="s">
        <v>727</v>
      </c>
    </row>
    <row r="67" spans="1:7" ht="14.4" hidden="1">
      <c r="A67" s="337"/>
      <c r="F67" s="175">
        <v>28</v>
      </c>
      <c r="G67" s="175" t="s">
        <v>594</v>
      </c>
    </row>
    <row r="68" spans="1:7" ht="14.4" hidden="1">
      <c r="A68" s="337"/>
      <c r="F68" s="175">
        <v>29</v>
      </c>
      <c r="G68" s="175" t="s">
        <v>728</v>
      </c>
    </row>
    <row r="69" spans="1:7" ht="14.4" hidden="1">
      <c r="A69" s="337"/>
      <c r="F69" s="175">
        <v>30</v>
      </c>
      <c r="G69" s="175" t="s">
        <v>595</v>
      </c>
    </row>
    <row r="70" spans="1:7" ht="14.4" hidden="1">
      <c r="A70" s="337"/>
      <c r="F70" s="175">
        <v>31</v>
      </c>
      <c r="G70" s="175" t="s">
        <v>596</v>
      </c>
    </row>
  </sheetData>
  <customSheetViews>
    <customSheetView guid="{93FD35E9-1E2C-4BB9-BB5F-2E73C17EC4AF}" scale="115" showGridLines="0" showRowCol="0" outlineSymbols="0" zeroValues="0" hiddenRows="1">
      <selection activeCell="AI36" sqref="AI36:AO36"/>
      <pageMargins left="0.75" right="0.75" top="1" bottom="1" header="0" footer="0"/>
      <pageSetup paperSize="9" orientation="portrait" r:id="rId1"/>
      <headerFooter alignWithMargins="0"/>
    </customSheetView>
  </customSheetViews>
  <mergeCells count="104">
    <mergeCell ref="AN27:AP29"/>
    <mergeCell ref="T37:X37"/>
    <mergeCell ref="M35:N35"/>
    <mergeCell ref="P35:Q35"/>
    <mergeCell ref="V30:X30"/>
    <mergeCell ref="Y30:AA30"/>
    <mergeCell ref="AF33:AG33"/>
    <mergeCell ref="AI33:AJ33"/>
    <mergeCell ref="AN30:AP30"/>
    <mergeCell ref="V34:X34"/>
    <mergeCell ref="Y34:AA34"/>
    <mergeCell ref="AE34:AG34"/>
    <mergeCell ref="AH34:AJ34"/>
    <mergeCell ref="AK34:AM34"/>
    <mergeCell ref="AN34:AP34"/>
    <mergeCell ref="AB30:AD30"/>
    <mergeCell ref="V31:X33"/>
    <mergeCell ref="Y31:AA33"/>
    <mergeCell ref="AB31:AD33"/>
    <mergeCell ref="AE30:AG30"/>
    <mergeCell ref="B30:U33"/>
    <mergeCell ref="AA36:AG36"/>
    <mergeCell ref="AI36:AO36"/>
    <mergeCell ref="AH26:AJ26"/>
    <mergeCell ref="AN26:AP26"/>
    <mergeCell ref="AO33:AP33"/>
    <mergeCell ref="AH30:AJ30"/>
    <mergeCell ref="AK30:AM30"/>
    <mergeCell ref="T36:X36"/>
    <mergeCell ref="AH23:AJ25"/>
    <mergeCell ref="AK23:AM25"/>
    <mergeCell ref="AN23:AP25"/>
    <mergeCell ref="V23:X25"/>
    <mergeCell ref="Y23:AA25"/>
    <mergeCell ref="AB23:AD25"/>
    <mergeCell ref="AE23:AG25"/>
    <mergeCell ref="V27:X29"/>
    <mergeCell ref="Y27:AA29"/>
    <mergeCell ref="AH27:AJ29"/>
    <mergeCell ref="AK27:AM29"/>
    <mergeCell ref="AB27:AD29"/>
    <mergeCell ref="AE27:AG29"/>
    <mergeCell ref="AK26:AM26"/>
    <mergeCell ref="AL33:AM33"/>
    <mergeCell ref="Y26:AA26"/>
    <mergeCell ref="AB26:AD26"/>
    <mergeCell ref="AE26:AG26"/>
    <mergeCell ref="Y19:AA21"/>
    <mergeCell ref="AB19:AD21"/>
    <mergeCell ref="AE19:AG21"/>
    <mergeCell ref="AB22:AD22"/>
    <mergeCell ref="AE22:AG22"/>
    <mergeCell ref="AH22:AJ22"/>
    <mergeCell ref="AK22:AM22"/>
    <mergeCell ref="AH19:AJ21"/>
    <mergeCell ref="AK19:AM21"/>
    <mergeCell ref="AH15:AJ17"/>
    <mergeCell ref="AK15:AM17"/>
    <mergeCell ref="AN15:AP17"/>
    <mergeCell ref="V14:X14"/>
    <mergeCell ref="Y14:AA14"/>
    <mergeCell ref="V22:X22"/>
    <mergeCell ref="Y22:AA22"/>
    <mergeCell ref="AB11:AD13"/>
    <mergeCell ref="AE11:AG13"/>
    <mergeCell ref="AH11:AJ13"/>
    <mergeCell ref="AB14:AD14"/>
    <mergeCell ref="AE14:AG14"/>
    <mergeCell ref="AK11:AM13"/>
    <mergeCell ref="AH14:AJ14"/>
    <mergeCell ref="AK14:AM14"/>
    <mergeCell ref="AN14:AP14"/>
    <mergeCell ref="AN22:AP22"/>
    <mergeCell ref="V18:X18"/>
    <mergeCell ref="Y18:AA18"/>
    <mergeCell ref="AB18:AD18"/>
    <mergeCell ref="AE18:AG18"/>
    <mergeCell ref="AH18:AJ18"/>
    <mergeCell ref="AK18:AM18"/>
    <mergeCell ref="AN18:AP18"/>
    <mergeCell ref="AO1:AP1"/>
    <mergeCell ref="AD2:AH4"/>
    <mergeCell ref="AD5:AH7"/>
    <mergeCell ref="V10:X10"/>
    <mergeCell ref="Y10:AA10"/>
    <mergeCell ref="AN10:AP10"/>
    <mergeCell ref="V26:X26"/>
    <mergeCell ref="V19:X21"/>
    <mergeCell ref="B1:U3"/>
    <mergeCell ref="AB10:AD10"/>
    <mergeCell ref="AE10:AG10"/>
    <mergeCell ref="AH10:AJ10"/>
    <mergeCell ref="AK10:AM10"/>
    <mergeCell ref="V1:Z1"/>
    <mergeCell ref="AA1:AB1"/>
    <mergeCell ref="AJ1:AN1"/>
    <mergeCell ref="V11:X13"/>
    <mergeCell ref="Y11:AA13"/>
    <mergeCell ref="AN11:AP13"/>
    <mergeCell ref="V15:X17"/>
    <mergeCell ref="Y15:AA17"/>
    <mergeCell ref="AB15:AD17"/>
    <mergeCell ref="AE15:AG17"/>
    <mergeCell ref="AN19:AP21"/>
  </mergeCells>
  <phoneticPr fontId="24" type="noConversion"/>
  <conditionalFormatting sqref="X4">
    <cfRule type="cellIs" dxfId="158" priority="3" stopIfTrue="1" operator="equal">
      <formula>$AM$36</formula>
    </cfRule>
  </conditionalFormatting>
  <conditionalFormatting sqref="V6:V8">
    <cfRule type="cellIs" dxfId="157" priority="4" stopIfTrue="1" operator="equal">
      <formula>$N$39</formula>
    </cfRule>
  </conditionalFormatting>
  <conditionalFormatting sqref="V3:AB3 AJ3:AN3">
    <cfRule type="cellIs" dxfId="156" priority="5" stopIfTrue="1" operator="equal">
      <formula>1</formula>
    </cfRule>
  </conditionalFormatting>
  <conditionalFormatting sqref="Y4:AB4 V5:X5">
    <cfRule type="cellIs" dxfId="155" priority="6" stopIfTrue="1" operator="equal">
      <formula>11</formula>
    </cfRule>
  </conditionalFormatting>
  <conditionalFormatting sqref="AJ4:AO4 AK11:AP13">
    <cfRule type="cellIs" dxfId="154" priority="7" stopIfTrue="1" operator="equal">
      <formula>6</formula>
    </cfRule>
  </conditionalFormatting>
  <conditionalFormatting sqref="V15:AP17">
    <cfRule type="cellIs" dxfId="153" priority="8" stopIfTrue="1" operator="equal">
      <formula>6</formula>
    </cfRule>
    <cfRule type="cellIs" dxfId="152" priority="9" stopIfTrue="1" operator="equal">
      <formula>8</formula>
    </cfRule>
  </conditionalFormatting>
  <conditionalFormatting sqref="AE23:AP25 V27:AD29">
    <cfRule type="cellIs" dxfId="151" priority="10" stopIfTrue="1" operator="equal">
      <formula>25</formula>
    </cfRule>
  </conditionalFormatting>
  <conditionalFormatting sqref="AO3:AP3 V14 Y14 AB14 AE14 AH14 AK14 AN14 V18 Y18 AB18 AE18 AH18 AK18 AN18 V22 Y22 AB22 AE22 AH22 AK22 AN22 V26 Y26 AB26 AE26 AH26 AK26 AN26 V30 Y30 AB30 AE30 AH30 AK30 AN30 V34 Y34">
    <cfRule type="cellIs" dxfId="150" priority="11" stopIfTrue="1" operator="equal">
      <formula>1</formula>
    </cfRule>
    <cfRule type="cellIs" dxfId="149" priority="12" stopIfTrue="1" operator="equal">
      <formula>6</formula>
    </cfRule>
  </conditionalFormatting>
  <conditionalFormatting sqref="AO5:AP6">
    <cfRule type="cellIs" dxfId="148" priority="13" stopIfTrue="1" operator="between">
      <formula>$AB$38</formula>
      <formula>$AB$39</formula>
    </cfRule>
  </conditionalFormatting>
  <conditionalFormatting sqref="AN11:AP13 V15:AM17">
    <cfRule type="cellIs" dxfId="147" priority="2" operator="equal">
      <formula>7</formula>
    </cfRule>
  </conditionalFormatting>
  <conditionalFormatting sqref="AH23:AP25 V27:AG29">
    <cfRule type="cellIs" dxfId="146" priority="1" operator="equal">
      <formula>26</formula>
    </cfRule>
  </conditionalFormatting>
  <hyperlinks>
    <hyperlink ref="AD5:AH7" location="año!A1" display="año!A1"/>
    <hyperlink ref="V1:Z1" location="NOVIEMBRE!A1" display="NOVIEMBRE!A1"/>
    <hyperlink ref="AI36:AO36" location="PORTADA!A1" display="IR A PORTADA"/>
    <hyperlink ref="AA36:AG36" location="año!A1" display="IR A AÑO COMPLETO"/>
  </hyperlinks>
  <pageMargins left="0.75" right="0.75" top="1" bottom="1" header="0" footer="0"/>
  <pageSetup paperSize="9" orientation="portrait" r:id="rId2"/>
  <headerFooter alignWithMargins="0"/>
  <drawing r:id="rId3"/>
</worksheet>
</file>

<file path=xl/worksheets/sheet7.xml><?xml version="1.0" encoding="utf-8"?>
<worksheet xmlns="http://schemas.openxmlformats.org/spreadsheetml/2006/main" xmlns:r="http://schemas.openxmlformats.org/officeDocument/2006/relationships">
  <sheetPr codeName="Hoja7"/>
  <dimension ref="A1:AP70"/>
  <sheetViews>
    <sheetView showGridLines="0" showRowColHeaders="0" showZeros="0" showOutlineSymbols="0" zoomScale="125" zoomScaleNormal="125" workbookViewId="0">
      <selection activeCell="AV71" sqref="AV71"/>
    </sheetView>
  </sheetViews>
  <sheetFormatPr baseColWidth="10" defaultColWidth="3.33203125" defaultRowHeight="13.2"/>
  <cols>
    <col min="33" max="33" width="7.33203125" bestFit="1" customWidth="1"/>
  </cols>
  <sheetData>
    <row r="1" spans="2:42" ht="10.5" customHeight="1" thickBot="1">
      <c r="B1" s="1095" t="s">
        <v>991</v>
      </c>
      <c r="C1" s="1096"/>
      <c r="D1" s="1096"/>
      <c r="E1" s="1096"/>
      <c r="F1" s="1096"/>
      <c r="G1" s="1096"/>
      <c r="H1" s="1096"/>
      <c r="I1" s="1096"/>
      <c r="J1" s="1096"/>
      <c r="K1" s="1096"/>
      <c r="L1" s="1096"/>
      <c r="M1" s="1096"/>
      <c r="N1" s="1096"/>
      <c r="O1" s="1096"/>
      <c r="P1" s="1096"/>
      <c r="Q1" s="1096"/>
      <c r="R1" s="1096"/>
      <c r="S1" s="1096"/>
      <c r="T1" s="1096"/>
      <c r="U1" s="1097"/>
      <c r="V1" s="1055" t="str">
        <f>año!$K$22</f>
        <v>OCTUBRE</v>
      </c>
      <c r="W1" s="1056"/>
      <c r="X1" s="1056"/>
      <c r="Y1" s="1056"/>
      <c r="Z1" s="1056"/>
      <c r="AA1" s="1057">
        <f>año!$O$1</f>
        <v>2024</v>
      </c>
      <c r="AB1" s="1058"/>
      <c r="AJ1" s="1055" t="str">
        <f>año!$AA$22</f>
        <v>DICIEMBRE</v>
      </c>
      <c r="AK1" s="1056"/>
      <c r="AL1" s="1056"/>
      <c r="AM1" s="1056"/>
      <c r="AN1" s="1056"/>
      <c r="AO1" s="1098">
        <f>año!$O$1</f>
        <v>2024</v>
      </c>
      <c r="AP1" s="1099"/>
    </row>
    <row r="2" spans="2:42" ht="9" customHeight="1" thickBot="1">
      <c r="B2" s="1095"/>
      <c r="C2" s="1096"/>
      <c r="D2" s="1096"/>
      <c r="E2" s="1096"/>
      <c r="F2" s="1096"/>
      <c r="G2" s="1096"/>
      <c r="H2" s="1096"/>
      <c r="I2" s="1096"/>
      <c r="J2" s="1096"/>
      <c r="K2" s="1096"/>
      <c r="L2" s="1096"/>
      <c r="M2" s="1096"/>
      <c r="N2" s="1096"/>
      <c r="O2" s="1096"/>
      <c r="P2" s="1096"/>
      <c r="Q2" s="1096"/>
      <c r="R2" s="1096"/>
      <c r="S2" s="1096"/>
      <c r="T2" s="1096"/>
      <c r="U2" s="1097"/>
      <c r="V2" s="119" t="s">
        <v>20</v>
      </c>
      <c r="W2" s="120" t="s">
        <v>17</v>
      </c>
      <c r="X2" s="120" t="s">
        <v>29</v>
      </c>
      <c r="Y2" s="120" t="s">
        <v>24</v>
      </c>
      <c r="Z2" s="120" t="s">
        <v>12</v>
      </c>
      <c r="AA2" s="120" t="s">
        <v>7</v>
      </c>
      <c r="AB2" s="121" t="s">
        <v>15</v>
      </c>
      <c r="AD2" s="1043" t="str">
        <f>año!$S$22</f>
        <v>NOVIEMBRE</v>
      </c>
      <c r="AE2" s="1043"/>
      <c r="AF2" s="1043"/>
      <c r="AG2" s="1043"/>
      <c r="AH2" s="1043"/>
      <c r="AJ2" s="119" t="s">
        <v>20</v>
      </c>
      <c r="AK2" s="120" t="s">
        <v>17</v>
      </c>
      <c r="AL2" s="120" t="s">
        <v>29</v>
      </c>
      <c r="AM2" s="120" t="s">
        <v>24</v>
      </c>
      <c r="AN2" s="120" t="s">
        <v>12</v>
      </c>
      <c r="AO2" s="120" t="s">
        <v>7</v>
      </c>
      <c r="AP2" s="121" t="s">
        <v>15</v>
      </c>
    </row>
    <row r="3" spans="2:42" ht="9" customHeight="1">
      <c r="B3" s="1095"/>
      <c r="C3" s="1096"/>
      <c r="D3" s="1096"/>
      <c r="E3" s="1096"/>
      <c r="F3" s="1096"/>
      <c r="G3" s="1096"/>
      <c r="H3" s="1096"/>
      <c r="I3" s="1096"/>
      <c r="J3" s="1096"/>
      <c r="K3" s="1096"/>
      <c r="L3" s="1096"/>
      <c r="M3" s="1096"/>
      <c r="N3" s="1096"/>
      <c r="O3" s="1096"/>
      <c r="P3" s="1096"/>
      <c r="Q3" s="1096"/>
      <c r="R3" s="1096"/>
      <c r="S3" s="1096"/>
      <c r="T3" s="1096"/>
      <c r="U3" s="1097"/>
      <c r="V3" s="135" t="str">
        <f>año!K24</f>
        <v xml:space="preserve"> </v>
      </c>
      <c r="W3" s="123">
        <f>año!L24</f>
        <v>1</v>
      </c>
      <c r="X3" s="123">
        <f>año!M24</f>
        <v>2</v>
      </c>
      <c r="Y3" s="123">
        <f>año!N24</f>
        <v>3</v>
      </c>
      <c r="Z3" s="123">
        <f>año!O24</f>
        <v>4</v>
      </c>
      <c r="AA3" s="123">
        <f>año!P24</f>
        <v>5</v>
      </c>
      <c r="AB3" s="132">
        <f>año!Q24</f>
        <v>6</v>
      </c>
      <c r="AD3" s="1043"/>
      <c r="AE3" s="1043"/>
      <c r="AF3" s="1043"/>
      <c r="AG3" s="1043"/>
      <c r="AH3" s="1043"/>
      <c r="AJ3" s="128" t="str">
        <f>año!AA24</f>
        <v xml:space="preserve"> </v>
      </c>
      <c r="AK3" s="129" t="str">
        <f>año!AB24</f>
        <v xml:space="preserve"> </v>
      </c>
      <c r="AL3" s="129" t="str">
        <f>año!AC24</f>
        <v xml:space="preserve"> </v>
      </c>
      <c r="AM3" s="129" t="str">
        <f>año!AD24</f>
        <v xml:space="preserve"> </v>
      </c>
      <c r="AN3" s="129" t="str">
        <f>año!AE24</f>
        <v xml:space="preserve"> </v>
      </c>
      <c r="AO3" s="129" t="str">
        <f>año!AF24</f>
        <v xml:space="preserve"> </v>
      </c>
      <c r="AP3" s="132">
        <f>año!AG24</f>
        <v>1</v>
      </c>
    </row>
    <row r="4" spans="2:42" ht="9" customHeight="1">
      <c r="B4" s="350"/>
      <c r="D4" s="349"/>
      <c r="E4" s="349"/>
      <c r="F4" s="349"/>
      <c r="G4" s="349"/>
      <c r="H4" s="349"/>
      <c r="I4" s="349"/>
      <c r="J4" s="349"/>
      <c r="K4" s="349"/>
      <c r="L4" s="349"/>
      <c r="M4" s="349"/>
      <c r="N4" s="349"/>
      <c r="O4" s="349"/>
      <c r="P4" s="349"/>
      <c r="Q4" s="349"/>
      <c r="R4" s="349"/>
      <c r="S4" s="349"/>
      <c r="T4" s="349"/>
      <c r="U4" s="351"/>
      <c r="V4" s="124">
        <f>año!K25</f>
        <v>7</v>
      </c>
      <c r="W4" s="125">
        <f>año!L25</f>
        <v>8</v>
      </c>
      <c r="X4" s="125">
        <f>año!M25</f>
        <v>9</v>
      </c>
      <c r="Y4" s="125">
        <f>año!N25</f>
        <v>10</v>
      </c>
      <c r="Z4" s="125">
        <f>año!O25</f>
        <v>11</v>
      </c>
      <c r="AA4" s="125">
        <f>año!P25</f>
        <v>12</v>
      </c>
      <c r="AB4" s="133">
        <f>año!Q25</f>
        <v>13</v>
      </c>
      <c r="AD4" s="1043"/>
      <c r="AE4" s="1043"/>
      <c r="AF4" s="1043"/>
      <c r="AG4" s="1043"/>
      <c r="AH4" s="1043"/>
      <c r="AJ4" s="130">
        <f>año!AA25</f>
        <v>2</v>
      </c>
      <c r="AK4" s="131">
        <f>año!AB25</f>
        <v>3</v>
      </c>
      <c r="AL4" s="131">
        <f>año!AC25</f>
        <v>4</v>
      </c>
      <c r="AM4" s="131">
        <f>año!AD25</f>
        <v>5</v>
      </c>
      <c r="AN4" s="131">
        <f>año!AE25</f>
        <v>6</v>
      </c>
      <c r="AO4" s="131">
        <f>año!AF25</f>
        <v>7</v>
      </c>
      <c r="AP4" s="133">
        <f>año!AG25</f>
        <v>8</v>
      </c>
    </row>
    <row r="5" spans="2:42" ht="9" customHeight="1">
      <c r="B5" s="350"/>
      <c r="C5" s="349"/>
      <c r="D5" s="349"/>
      <c r="E5" s="349"/>
      <c r="F5" s="349"/>
      <c r="G5" s="349"/>
      <c r="H5" s="349"/>
      <c r="I5" s="349"/>
      <c r="J5" s="349"/>
      <c r="K5" s="349"/>
      <c r="L5" s="349"/>
      <c r="M5" s="349"/>
      <c r="N5" s="349"/>
      <c r="O5" s="349"/>
      <c r="P5" s="349"/>
      <c r="Q5" s="349"/>
      <c r="R5" s="349"/>
      <c r="S5" s="349"/>
      <c r="T5" s="349"/>
      <c r="U5" s="351"/>
      <c r="V5" s="124">
        <f>año!K26</f>
        <v>14</v>
      </c>
      <c r="W5" s="125">
        <f>año!L26</f>
        <v>15</v>
      </c>
      <c r="X5" s="125">
        <f>año!M26</f>
        <v>16</v>
      </c>
      <c r="Y5" s="125">
        <f>año!N26</f>
        <v>17</v>
      </c>
      <c r="Z5" s="125">
        <f>año!O26</f>
        <v>18</v>
      </c>
      <c r="AA5" s="125">
        <f>año!P26</f>
        <v>19</v>
      </c>
      <c r="AB5" s="133">
        <f>año!Q26</f>
        <v>20</v>
      </c>
      <c r="AD5" s="1044">
        <f>año!$O$1</f>
        <v>2024</v>
      </c>
      <c r="AE5" s="1045"/>
      <c r="AF5" s="1045"/>
      <c r="AG5" s="1045"/>
      <c r="AH5" s="1045"/>
      <c r="AJ5" s="130">
        <f>año!AA26</f>
        <v>9</v>
      </c>
      <c r="AK5" s="131">
        <f>año!AB26</f>
        <v>10</v>
      </c>
      <c r="AL5" s="131">
        <f>año!AC26</f>
        <v>11</v>
      </c>
      <c r="AM5" s="131">
        <f>año!AD26</f>
        <v>12</v>
      </c>
      <c r="AN5" s="131">
        <f>año!AE26</f>
        <v>13</v>
      </c>
      <c r="AO5" s="131">
        <f>año!AF26</f>
        <v>14</v>
      </c>
      <c r="AP5" s="133">
        <f>año!AG26</f>
        <v>15</v>
      </c>
    </row>
    <row r="6" spans="2:42" ht="9" customHeight="1">
      <c r="B6" s="350"/>
      <c r="C6" s="349"/>
      <c r="D6" s="349"/>
      <c r="E6" s="349"/>
      <c r="F6" s="349"/>
      <c r="G6" s="349"/>
      <c r="H6" s="349"/>
      <c r="I6" s="349"/>
      <c r="J6" s="349"/>
      <c r="K6" s="349"/>
      <c r="L6" s="349"/>
      <c r="M6" s="349"/>
      <c r="N6" s="349"/>
      <c r="O6" s="349"/>
      <c r="P6" s="349"/>
      <c r="Q6" s="349"/>
      <c r="R6" s="349"/>
      <c r="S6" s="349"/>
      <c r="T6" s="349"/>
      <c r="U6" s="351"/>
      <c r="V6" s="124">
        <f>año!K27</f>
        <v>21</v>
      </c>
      <c r="W6" s="125">
        <f>año!L27</f>
        <v>22</v>
      </c>
      <c r="X6" s="125">
        <f>año!M27</f>
        <v>23</v>
      </c>
      <c r="Y6" s="125">
        <f>año!N27</f>
        <v>24</v>
      </c>
      <c r="Z6" s="125">
        <f>año!O27</f>
        <v>25</v>
      </c>
      <c r="AA6" s="125">
        <f>año!P27</f>
        <v>26</v>
      </c>
      <c r="AB6" s="133">
        <f>año!Q27</f>
        <v>27</v>
      </c>
      <c r="AD6" s="1045"/>
      <c r="AE6" s="1045"/>
      <c r="AF6" s="1045"/>
      <c r="AG6" s="1045"/>
      <c r="AH6" s="1045"/>
      <c r="AJ6" s="130">
        <f>año!AA27</f>
        <v>16</v>
      </c>
      <c r="AK6" s="131">
        <f>año!AB27</f>
        <v>17</v>
      </c>
      <c r="AL6" s="131">
        <f>año!AC27</f>
        <v>18</v>
      </c>
      <c r="AM6" s="131">
        <f>año!AD27</f>
        <v>19</v>
      </c>
      <c r="AN6" s="131">
        <f>año!AE27</f>
        <v>20</v>
      </c>
      <c r="AO6" s="131">
        <f>año!AF27</f>
        <v>21</v>
      </c>
      <c r="AP6" s="133">
        <f>año!AG27</f>
        <v>22</v>
      </c>
    </row>
    <row r="7" spans="2:42" ht="9" customHeight="1">
      <c r="B7" s="350"/>
      <c r="C7" s="349"/>
      <c r="D7" s="349"/>
      <c r="E7" s="349"/>
      <c r="F7" s="349"/>
      <c r="G7" s="349"/>
      <c r="H7" s="349"/>
      <c r="I7" s="349"/>
      <c r="J7" s="349"/>
      <c r="K7" s="349"/>
      <c r="L7" s="349"/>
      <c r="M7" s="349"/>
      <c r="N7" s="349"/>
      <c r="O7" s="349"/>
      <c r="P7" s="349"/>
      <c r="Q7" s="349"/>
      <c r="R7" s="349"/>
      <c r="S7" s="349"/>
      <c r="T7" s="349"/>
      <c r="U7" s="351"/>
      <c r="V7" s="124">
        <f>año!K28</f>
        <v>28</v>
      </c>
      <c r="W7" s="125">
        <f>año!L28</f>
        <v>29</v>
      </c>
      <c r="X7" s="125">
        <f>año!M28</f>
        <v>30</v>
      </c>
      <c r="Y7" s="125">
        <f>año!N28</f>
        <v>31</v>
      </c>
      <c r="Z7" s="125" t="str">
        <f>año!O28</f>
        <v xml:space="preserve"> </v>
      </c>
      <c r="AA7" s="125" t="str">
        <f>año!P28</f>
        <v xml:space="preserve"> </v>
      </c>
      <c r="AB7" s="133" t="str">
        <f>año!Q28</f>
        <v xml:space="preserve"> </v>
      </c>
      <c r="AD7" s="1045"/>
      <c r="AE7" s="1045"/>
      <c r="AF7" s="1045"/>
      <c r="AG7" s="1045"/>
      <c r="AH7" s="1045"/>
      <c r="AJ7" s="250">
        <f>año!AA28</f>
        <v>23</v>
      </c>
      <c r="AK7" s="131">
        <f>año!AB28</f>
        <v>24</v>
      </c>
      <c r="AL7" s="131">
        <f>año!AC28</f>
        <v>25</v>
      </c>
      <c r="AM7" s="131">
        <f>año!AD28</f>
        <v>26</v>
      </c>
      <c r="AN7" s="131">
        <f>año!AE28</f>
        <v>27</v>
      </c>
      <c r="AO7" s="131">
        <f>año!AF28</f>
        <v>28</v>
      </c>
      <c r="AP7" s="133">
        <f>año!AG28</f>
        <v>29</v>
      </c>
    </row>
    <row r="8" spans="2:42" ht="9" customHeight="1" thickBot="1">
      <c r="B8" s="350"/>
      <c r="C8" s="349"/>
      <c r="D8" s="349"/>
      <c r="E8" s="349"/>
      <c r="F8" s="349"/>
      <c r="G8" s="349"/>
      <c r="H8" s="349"/>
      <c r="I8" s="349"/>
      <c r="J8" s="349"/>
      <c r="K8" s="349"/>
      <c r="L8" s="349"/>
      <c r="M8" s="349"/>
      <c r="N8" s="349"/>
      <c r="O8" s="349"/>
      <c r="P8" s="349"/>
      <c r="Q8" s="349"/>
      <c r="R8" s="349"/>
      <c r="S8" s="349"/>
      <c r="T8" s="349"/>
      <c r="U8" s="352"/>
      <c r="V8" s="126" t="str">
        <f>año!K29</f>
        <v xml:space="preserve"> </v>
      </c>
      <c r="W8" s="127" t="str">
        <f>año!L29</f>
        <v xml:space="preserve"> </v>
      </c>
      <c r="X8" s="127" t="str">
        <f>año!M29</f>
        <v xml:space="preserve"> </v>
      </c>
      <c r="Y8" s="127" t="str">
        <f>año!N29</f>
        <v xml:space="preserve"> </v>
      </c>
      <c r="Z8" s="127" t="str">
        <f>año!O29</f>
        <v xml:space="preserve"> </v>
      </c>
      <c r="AA8" s="127" t="str">
        <f>año!P29</f>
        <v xml:space="preserve"> </v>
      </c>
      <c r="AB8" s="134" t="str">
        <f>año!Q29</f>
        <v xml:space="preserve"> </v>
      </c>
      <c r="AJ8" s="126">
        <f>año!AA29</f>
        <v>30</v>
      </c>
      <c r="AK8" s="127">
        <f>año!AB29</f>
        <v>31</v>
      </c>
      <c r="AL8" s="127" t="str">
        <f>año!AC29</f>
        <v xml:space="preserve"> </v>
      </c>
      <c r="AM8" s="127" t="str">
        <f>año!AD29</f>
        <v xml:space="preserve"> </v>
      </c>
      <c r="AN8" s="127" t="str">
        <f>año!AE29</f>
        <v xml:space="preserve"> </v>
      </c>
      <c r="AO8" s="127" t="str">
        <f>año!AF29</f>
        <v xml:space="preserve"> </v>
      </c>
      <c r="AP8" s="137" t="str">
        <f>año!AG29</f>
        <v xml:space="preserve"> </v>
      </c>
    </row>
    <row r="9" spans="2:42" ht="9" customHeight="1">
      <c r="B9" s="350"/>
      <c r="C9" s="349"/>
      <c r="D9" s="349"/>
      <c r="E9" s="349"/>
      <c r="F9" s="349"/>
      <c r="G9" s="349"/>
      <c r="H9" s="349"/>
      <c r="I9" s="349"/>
      <c r="J9" s="349"/>
      <c r="K9" s="349"/>
      <c r="L9" s="349"/>
      <c r="M9" s="349"/>
      <c r="N9" s="349"/>
      <c r="O9" s="349"/>
      <c r="P9" s="349"/>
      <c r="Q9" s="349"/>
      <c r="R9" s="349"/>
      <c r="S9" s="349"/>
      <c r="T9" s="349"/>
      <c r="U9" s="352"/>
      <c r="V9" s="112"/>
      <c r="W9" s="112"/>
      <c r="X9" s="112"/>
      <c r="Y9" s="112"/>
      <c r="Z9" s="112"/>
      <c r="AA9" s="112"/>
      <c r="AB9" s="112"/>
      <c r="AC9" s="112"/>
      <c r="AD9" s="112"/>
      <c r="AE9" s="112"/>
      <c r="AF9" s="112"/>
      <c r="AG9" s="112"/>
      <c r="AH9" s="112"/>
      <c r="AI9" s="112"/>
      <c r="AJ9" s="112"/>
      <c r="AK9" s="112"/>
      <c r="AL9" s="112"/>
      <c r="AM9" s="112"/>
      <c r="AN9" s="112"/>
      <c r="AO9" s="112"/>
      <c r="AP9" s="112"/>
    </row>
    <row r="10" spans="2:42" ht="9" customHeight="1">
      <c r="B10" s="350"/>
      <c r="C10" s="349"/>
      <c r="D10" s="349"/>
      <c r="E10" s="349"/>
      <c r="F10" s="349"/>
      <c r="G10" s="349"/>
      <c r="H10" s="349"/>
      <c r="I10" s="349"/>
      <c r="J10" s="349"/>
      <c r="K10" s="349"/>
      <c r="L10" s="349"/>
      <c r="M10" s="349"/>
      <c r="N10" s="349"/>
      <c r="O10" s="349"/>
      <c r="P10" s="349"/>
      <c r="Q10" s="349"/>
      <c r="R10" s="349"/>
      <c r="S10" s="349"/>
      <c r="T10" s="349"/>
      <c r="U10" s="352"/>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047"/>
    </row>
    <row r="11" spans="2:42" ht="9" customHeight="1">
      <c r="B11" s="350"/>
      <c r="C11" s="349"/>
      <c r="D11" s="349"/>
      <c r="E11" s="349"/>
      <c r="F11" s="349"/>
      <c r="G11" s="349"/>
      <c r="H11" s="349"/>
      <c r="I11" s="349"/>
      <c r="J11" s="349"/>
      <c r="K11" s="349"/>
      <c r="L11" s="349"/>
      <c r="M11" s="349"/>
      <c r="N11" s="349"/>
      <c r="O11" s="349"/>
      <c r="P11" s="349"/>
      <c r="Q11" s="349"/>
      <c r="R11" s="349"/>
      <c r="S11" s="349"/>
      <c r="T11" s="349"/>
      <c r="U11" s="352"/>
      <c r="V11" s="1060" t="str">
        <f>año!S24</f>
        <v xml:space="preserve"> </v>
      </c>
      <c r="W11" s="1061"/>
      <c r="X11" s="1061"/>
      <c r="Y11" s="1061" t="str">
        <f>año!T24</f>
        <v xml:space="preserve"> </v>
      </c>
      <c r="Z11" s="1061"/>
      <c r="AA11" s="1061"/>
      <c r="AB11" s="1052" t="str">
        <f>año!U24</f>
        <v xml:space="preserve"> </v>
      </c>
      <c r="AC11" s="1052"/>
      <c r="AD11" s="1052"/>
      <c r="AE11" s="1052" t="str">
        <f>año!V24</f>
        <v xml:space="preserve"> </v>
      </c>
      <c r="AF11" s="1052"/>
      <c r="AG11" s="1052"/>
      <c r="AH11" s="1052">
        <f>año!W24</f>
        <v>1</v>
      </c>
      <c r="AI11" s="1052"/>
      <c r="AJ11" s="1052"/>
      <c r="AK11" s="1052">
        <f>año!X24</f>
        <v>2</v>
      </c>
      <c r="AL11" s="1052"/>
      <c r="AM11" s="1052"/>
      <c r="AN11" s="1062">
        <f>año!Y24</f>
        <v>3</v>
      </c>
      <c r="AO11" s="1062"/>
      <c r="AP11" s="1063"/>
    </row>
    <row r="12" spans="2:42" ht="9" customHeight="1">
      <c r="B12" s="350"/>
      <c r="C12" s="349"/>
      <c r="D12" s="349"/>
      <c r="E12" s="349"/>
      <c r="F12" s="349"/>
      <c r="G12" s="349"/>
      <c r="H12" s="349"/>
      <c r="I12" s="349"/>
      <c r="J12" s="349"/>
      <c r="K12" s="349"/>
      <c r="L12" s="349"/>
      <c r="M12" s="349"/>
      <c r="N12" s="349"/>
      <c r="O12" s="349"/>
      <c r="P12" s="349"/>
      <c r="Q12" s="349"/>
      <c r="R12" s="349"/>
      <c r="S12" s="349"/>
      <c r="T12" s="349"/>
      <c r="U12" s="352"/>
      <c r="V12" s="1051"/>
      <c r="W12" s="1052"/>
      <c r="X12" s="1052"/>
      <c r="Y12" s="1052"/>
      <c r="Z12" s="1052"/>
      <c r="AA12" s="1052"/>
      <c r="AB12" s="1052"/>
      <c r="AC12" s="1052"/>
      <c r="AD12" s="1052"/>
      <c r="AE12" s="1052"/>
      <c r="AF12" s="1052"/>
      <c r="AG12" s="1052"/>
      <c r="AH12" s="1052"/>
      <c r="AI12" s="1052"/>
      <c r="AJ12" s="1052"/>
      <c r="AK12" s="1052"/>
      <c r="AL12" s="1052"/>
      <c r="AM12" s="1052"/>
      <c r="AN12" s="1064"/>
      <c r="AO12" s="1064"/>
      <c r="AP12" s="1065"/>
    </row>
    <row r="13" spans="2:42" ht="9" customHeight="1">
      <c r="B13" s="350"/>
      <c r="C13" s="349"/>
      <c r="D13" s="349"/>
      <c r="E13" s="349"/>
      <c r="F13" s="349"/>
      <c r="G13" s="349"/>
      <c r="H13" s="349"/>
      <c r="I13" s="349"/>
      <c r="J13" s="349"/>
      <c r="K13" s="349"/>
      <c r="L13" s="349"/>
      <c r="M13" s="349"/>
      <c r="N13" s="349"/>
      <c r="O13" s="349"/>
      <c r="P13" s="349"/>
      <c r="Q13" s="349"/>
      <c r="R13" s="349"/>
      <c r="S13" s="349"/>
      <c r="T13" s="349"/>
      <c r="U13" s="352"/>
      <c r="V13" s="1051"/>
      <c r="W13" s="1052"/>
      <c r="X13" s="1052"/>
      <c r="Y13" s="1052"/>
      <c r="Z13" s="1052"/>
      <c r="AA13" s="1052"/>
      <c r="AB13" s="1052"/>
      <c r="AC13" s="1052"/>
      <c r="AD13" s="1052"/>
      <c r="AE13" s="1052"/>
      <c r="AF13" s="1052"/>
      <c r="AG13" s="1052"/>
      <c r="AH13" s="1052"/>
      <c r="AI13" s="1052"/>
      <c r="AJ13" s="1052"/>
      <c r="AK13" s="1052"/>
      <c r="AL13" s="1052"/>
      <c r="AM13" s="1052"/>
      <c r="AN13" s="1064"/>
      <c r="AO13" s="1064"/>
      <c r="AP13" s="1065"/>
    </row>
    <row r="14" spans="2:42" ht="9" customHeight="1">
      <c r="B14" s="350"/>
      <c r="C14" s="349"/>
      <c r="D14" s="349"/>
      <c r="E14" s="349"/>
      <c r="F14" s="349"/>
      <c r="G14" s="349"/>
      <c r="H14" s="349"/>
      <c r="I14" s="349"/>
      <c r="J14" s="349"/>
      <c r="K14" s="349"/>
      <c r="L14" s="349"/>
      <c r="M14" s="349"/>
      <c r="N14" s="349"/>
      <c r="O14" s="349"/>
      <c r="P14" s="349"/>
      <c r="Q14" s="349"/>
      <c r="R14" s="349"/>
      <c r="S14" s="349"/>
      <c r="T14" s="349"/>
      <c r="U14" s="352"/>
      <c r="V14" s="1049" t="str">
        <f>IF(V11&lt;&gt;" ",VLOOKUP(V11,$F$40:$H$70,2)," ")</f>
        <v xml:space="preserve"> </v>
      </c>
      <c r="W14" s="1050"/>
      <c r="X14" s="1050"/>
      <c r="Y14" s="1050" t="str">
        <f>IF(Y11&lt;&gt;" ",VLOOKUP(Y11,$F$40:$H$70,2)," ")</f>
        <v xml:space="preserve"> </v>
      </c>
      <c r="Z14" s="1050"/>
      <c r="AA14" s="1050"/>
      <c r="AB14" s="1050" t="str">
        <f>IF(AB11&lt;&gt;" ",VLOOKUP(AB11,$F$40:$H$70,2)," ")</f>
        <v xml:space="preserve"> </v>
      </c>
      <c r="AC14" s="1050"/>
      <c r="AD14" s="1050"/>
      <c r="AE14" s="1050" t="str">
        <f>IF(AE11&lt;&gt;" ",VLOOKUP(AE11,$F$40:$H$70,2)," ")</f>
        <v xml:space="preserve"> </v>
      </c>
      <c r="AF14" s="1050"/>
      <c r="AG14" s="1050"/>
      <c r="AH14" s="1050" t="str">
        <f>IF(AH11&lt;&gt;" ",VLOOKUP(AH11,$F$40:$H$70,2)," ")</f>
        <v>Todos Santos</v>
      </c>
      <c r="AI14" s="1050"/>
      <c r="AJ14" s="1050"/>
      <c r="AK14" s="1050" t="str">
        <f>IF(AK11&lt;&gt;" ",VLOOKUP(AK11,$F$40:$H$70,2)," ")</f>
        <v>Difuntos</v>
      </c>
      <c r="AL14" s="1050"/>
      <c r="AM14" s="1050"/>
      <c r="AN14" s="1050" t="str">
        <f>IF(AN11&lt;&gt;" ",VLOOKUP(AN11,$F$40:$H$70,2)," ")</f>
        <v>Martí Porres</v>
      </c>
      <c r="AO14" s="1050"/>
      <c r="AP14" s="1066"/>
    </row>
    <row r="15" spans="2:42" ht="9" customHeight="1">
      <c r="B15" s="350"/>
      <c r="C15" s="349"/>
      <c r="D15" s="349"/>
      <c r="E15" s="349"/>
      <c r="F15" s="349"/>
      <c r="G15" s="349"/>
      <c r="H15" s="349"/>
      <c r="I15" s="349"/>
      <c r="J15" s="349"/>
      <c r="K15" s="349"/>
      <c r="L15" s="349"/>
      <c r="M15" s="349"/>
      <c r="N15" s="349"/>
      <c r="O15" s="349"/>
      <c r="P15" s="349"/>
      <c r="Q15" s="349"/>
      <c r="R15" s="349"/>
      <c r="S15" s="349"/>
      <c r="T15" s="349"/>
      <c r="U15" s="352"/>
      <c r="V15" s="1051">
        <f>año!S25</f>
        <v>4</v>
      </c>
      <c r="W15" s="1052"/>
      <c r="X15" s="1052"/>
      <c r="Y15" s="1052">
        <f>año!T25</f>
        <v>5</v>
      </c>
      <c r="Z15" s="1052"/>
      <c r="AA15" s="1052"/>
      <c r="AB15" s="1052">
        <f>año!U25</f>
        <v>6</v>
      </c>
      <c r="AC15" s="1052"/>
      <c r="AD15" s="1052"/>
      <c r="AE15" s="1052">
        <f>año!V25</f>
        <v>7</v>
      </c>
      <c r="AF15" s="1052"/>
      <c r="AG15" s="1052"/>
      <c r="AH15" s="1052">
        <f>año!W25</f>
        <v>8</v>
      </c>
      <c r="AI15" s="1052"/>
      <c r="AJ15" s="1052"/>
      <c r="AK15" s="1052">
        <f>año!X25</f>
        <v>9</v>
      </c>
      <c r="AL15" s="1052"/>
      <c r="AM15" s="1052"/>
      <c r="AN15" s="1064">
        <f>año!Y25</f>
        <v>10</v>
      </c>
      <c r="AO15" s="1064"/>
      <c r="AP15" s="1065"/>
    </row>
    <row r="16" spans="2:42" ht="9" customHeight="1">
      <c r="B16" s="350"/>
      <c r="C16" s="349"/>
      <c r="D16" s="349"/>
      <c r="E16" s="349"/>
      <c r="F16" s="349"/>
      <c r="G16" s="349"/>
      <c r="H16" s="349"/>
      <c r="I16" s="349"/>
      <c r="J16" s="349"/>
      <c r="K16" s="349"/>
      <c r="L16" s="349"/>
      <c r="M16" s="349"/>
      <c r="N16" s="349"/>
      <c r="O16" s="349"/>
      <c r="P16" s="349"/>
      <c r="Q16" s="349"/>
      <c r="R16" s="349"/>
      <c r="S16" s="349"/>
      <c r="T16" s="349"/>
      <c r="U16" s="352"/>
      <c r="V16" s="1051"/>
      <c r="W16" s="1052"/>
      <c r="X16" s="1052"/>
      <c r="Y16" s="1052"/>
      <c r="Z16" s="1052"/>
      <c r="AA16" s="1052"/>
      <c r="AB16" s="1052"/>
      <c r="AC16" s="1052"/>
      <c r="AD16" s="1052"/>
      <c r="AE16" s="1052"/>
      <c r="AF16" s="1052"/>
      <c r="AG16" s="1052"/>
      <c r="AH16" s="1052"/>
      <c r="AI16" s="1052"/>
      <c r="AJ16" s="1052"/>
      <c r="AK16" s="1052"/>
      <c r="AL16" s="1052"/>
      <c r="AM16" s="1052"/>
      <c r="AN16" s="1064"/>
      <c r="AO16" s="1064"/>
      <c r="AP16" s="1065"/>
    </row>
    <row r="17" spans="2:42" ht="9" customHeight="1">
      <c r="B17" s="350"/>
      <c r="C17" s="349"/>
      <c r="D17" s="349"/>
      <c r="E17" s="349"/>
      <c r="F17" s="349"/>
      <c r="G17" s="349"/>
      <c r="H17" s="349"/>
      <c r="I17" s="349"/>
      <c r="J17" s="349"/>
      <c r="K17" s="349"/>
      <c r="L17" s="349"/>
      <c r="M17" s="349"/>
      <c r="N17" s="349"/>
      <c r="O17" s="349"/>
      <c r="P17" s="349"/>
      <c r="Q17" s="349"/>
      <c r="R17" s="349"/>
      <c r="S17" s="349"/>
      <c r="T17" s="349"/>
      <c r="U17" s="352"/>
      <c r="V17" s="1051"/>
      <c r="W17" s="1052"/>
      <c r="X17" s="1052"/>
      <c r="Y17" s="1052"/>
      <c r="Z17" s="1052"/>
      <c r="AA17" s="1052"/>
      <c r="AB17" s="1052"/>
      <c r="AC17" s="1052"/>
      <c r="AD17" s="1052"/>
      <c r="AE17" s="1052"/>
      <c r="AF17" s="1052"/>
      <c r="AG17" s="1052"/>
      <c r="AH17" s="1052"/>
      <c r="AI17" s="1052"/>
      <c r="AJ17" s="1052"/>
      <c r="AK17" s="1052"/>
      <c r="AL17" s="1052"/>
      <c r="AM17" s="1052"/>
      <c r="AN17" s="1064"/>
      <c r="AO17" s="1064"/>
      <c r="AP17" s="1065"/>
    </row>
    <row r="18" spans="2:42" ht="9" customHeight="1">
      <c r="B18" s="350"/>
      <c r="C18" s="349"/>
      <c r="D18" s="349"/>
      <c r="E18" s="349"/>
      <c r="F18" s="349"/>
      <c r="G18" s="349"/>
      <c r="H18" s="349"/>
      <c r="I18" s="349"/>
      <c r="J18" s="349"/>
      <c r="K18" s="349"/>
      <c r="L18" s="349"/>
      <c r="M18" s="349"/>
      <c r="N18" s="349"/>
      <c r="O18" s="349"/>
      <c r="P18" s="349"/>
      <c r="Q18" s="349"/>
      <c r="R18" s="349"/>
      <c r="S18" s="349"/>
      <c r="T18" s="349"/>
      <c r="U18" s="352"/>
      <c r="V18" s="1049" t="str">
        <f>IF(V15&lt;&gt;" ",VLOOKUP(V15,$F$40:$H$70,2)," ")</f>
        <v>Carlos Borro.</v>
      </c>
      <c r="W18" s="1050"/>
      <c r="X18" s="1050"/>
      <c r="Y18" s="1050" t="str">
        <f>IF(Y15&lt;&gt;" ",VLOOKUP(Y15,$F$40:$H$70,2)," ")</f>
        <v>Ángela Cruz</v>
      </c>
      <c r="Z18" s="1050"/>
      <c r="AA18" s="1050"/>
      <c r="AB18" s="1050" t="str">
        <f>IF(AB15&lt;&gt;" ",VLOOKUP(AB15,$F$40:$H$70,2)," ")</f>
        <v>Severo</v>
      </c>
      <c r="AC18" s="1050"/>
      <c r="AD18" s="1050"/>
      <c r="AE18" s="1050" t="str">
        <f>IF(AE15&lt;&gt;" ",VLOOKUP(AE15,$F$40:$H$70,2)," ")</f>
        <v>Ernesto</v>
      </c>
      <c r="AF18" s="1050"/>
      <c r="AG18" s="1050"/>
      <c r="AH18" s="1050" t="str">
        <f>IF(AH15&lt;&gt;" ",VLOOKUP(AH15,$F$40:$H$70,2)," ")</f>
        <v>Severiano</v>
      </c>
      <c r="AI18" s="1050"/>
      <c r="AJ18" s="1050"/>
      <c r="AK18" s="1050" t="str">
        <f>IF(AK15&lt;&gt;" ",VLOOKUP(AK15,$F$40:$H$70,2)," ")</f>
        <v>N.S.Almudena</v>
      </c>
      <c r="AL18" s="1050"/>
      <c r="AM18" s="1050"/>
      <c r="AN18" s="1050" t="str">
        <f>IF(AN15&lt;&gt;" ",VLOOKUP(AN15,$F$40:$H$70,2)," ")</f>
        <v>León</v>
      </c>
      <c r="AO18" s="1050"/>
      <c r="AP18" s="1066"/>
    </row>
    <row r="19" spans="2:42" ht="9" customHeight="1">
      <c r="B19" s="350"/>
      <c r="C19" s="349"/>
      <c r="D19" s="349"/>
      <c r="E19" s="349"/>
      <c r="F19" s="349"/>
      <c r="G19" s="349"/>
      <c r="H19" s="349"/>
      <c r="I19" s="349"/>
      <c r="J19" s="349"/>
      <c r="K19" s="349"/>
      <c r="L19" s="349"/>
      <c r="M19" s="349"/>
      <c r="N19" s="349"/>
      <c r="O19" s="349"/>
      <c r="P19" s="349"/>
      <c r="Q19" s="349"/>
      <c r="R19" s="349"/>
      <c r="S19" s="349"/>
      <c r="T19" s="349"/>
      <c r="U19" s="352"/>
      <c r="V19" s="1051">
        <f>año!S26</f>
        <v>11</v>
      </c>
      <c r="W19" s="1052"/>
      <c r="X19" s="1052"/>
      <c r="Y19" s="1052">
        <f>año!T26</f>
        <v>12</v>
      </c>
      <c r="Z19" s="1052"/>
      <c r="AA19" s="1052"/>
      <c r="AB19" s="1052">
        <f>año!U26</f>
        <v>13</v>
      </c>
      <c r="AC19" s="1052"/>
      <c r="AD19" s="1052"/>
      <c r="AE19" s="1052">
        <f>año!V26</f>
        <v>14</v>
      </c>
      <c r="AF19" s="1052"/>
      <c r="AG19" s="1052"/>
      <c r="AH19" s="1052">
        <f>año!W26</f>
        <v>15</v>
      </c>
      <c r="AI19" s="1052"/>
      <c r="AJ19" s="1052"/>
      <c r="AK19" s="1052">
        <f>año!X26</f>
        <v>16</v>
      </c>
      <c r="AL19" s="1052"/>
      <c r="AM19" s="1052"/>
      <c r="AN19" s="1064">
        <f>año!Y26</f>
        <v>17</v>
      </c>
      <c r="AO19" s="1064"/>
      <c r="AP19" s="1065"/>
    </row>
    <row r="20" spans="2:42" ht="9" customHeight="1">
      <c r="B20" s="350"/>
      <c r="C20" s="349"/>
      <c r="D20" s="349"/>
      <c r="E20" s="349"/>
      <c r="F20" s="349"/>
      <c r="G20" s="349"/>
      <c r="H20" s="349"/>
      <c r="I20" s="349"/>
      <c r="J20" s="349"/>
      <c r="K20" s="349"/>
      <c r="L20" s="349"/>
      <c r="M20" s="349"/>
      <c r="N20" s="349"/>
      <c r="O20" s="349"/>
      <c r="P20" s="349"/>
      <c r="Q20" s="349"/>
      <c r="R20" s="349"/>
      <c r="S20" s="349"/>
      <c r="T20" s="349"/>
      <c r="U20" s="352"/>
      <c r="V20" s="1051"/>
      <c r="W20" s="1052"/>
      <c r="X20" s="1052"/>
      <c r="Y20" s="1052"/>
      <c r="Z20" s="1052"/>
      <c r="AA20" s="1052"/>
      <c r="AB20" s="1052"/>
      <c r="AC20" s="1052"/>
      <c r="AD20" s="1052"/>
      <c r="AE20" s="1052"/>
      <c r="AF20" s="1052"/>
      <c r="AG20" s="1052"/>
      <c r="AH20" s="1052"/>
      <c r="AI20" s="1052"/>
      <c r="AJ20" s="1052"/>
      <c r="AK20" s="1052"/>
      <c r="AL20" s="1052"/>
      <c r="AM20" s="1052"/>
      <c r="AN20" s="1064"/>
      <c r="AO20" s="1064"/>
      <c r="AP20" s="1065"/>
    </row>
    <row r="21" spans="2:42" ht="9" customHeight="1">
      <c r="B21" s="350"/>
      <c r="C21" s="349"/>
      <c r="D21" s="349"/>
      <c r="E21" s="349"/>
      <c r="F21" s="349"/>
      <c r="G21" s="349"/>
      <c r="H21" s="349"/>
      <c r="I21" s="349"/>
      <c r="J21" s="349"/>
      <c r="K21" s="349"/>
      <c r="L21" s="349"/>
      <c r="M21" s="349"/>
      <c r="N21" s="349"/>
      <c r="O21" s="349"/>
      <c r="P21" s="349"/>
      <c r="Q21" s="349"/>
      <c r="R21" s="349"/>
      <c r="S21" s="349"/>
      <c r="T21" s="349"/>
      <c r="U21" s="352"/>
      <c r="V21" s="1051"/>
      <c r="W21" s="1052"/>
      <c r="X21" s="1052"/>
      <c r="Y21" s="1052"/>
      <c r="Z21" s="1052"/>
      <c r="AA21" s="1052"/>
      <c r="AB21" s="1052"/>
      <c r="AC21" s="1052"/>
      <c r="AD21" s="1052"/>
      <c r="AE21" s="1052"/>
      <c r="AF21" s="1052"/>
      <c r="AG21" s="1052"/>
      <c r="AH21" s="1052"/>
      <c r="AI21" s="1052"/>
      <c r="AJ21" s="1052"/>
      <c r="AK21" s="1052"/>
      <c r="AL21" s="1052"/>
      <c r="AM21" s="1052"/>
      <c r="AN21" s="1064"/>
      <c r="AO21" s="1064"/>
      <c r="AP21" s="1065"/>
    </row>
    <row r="22" spans="2:42" ht="9" customHeight="1">
      <c r="B22" s="350"/>
      <c r="C22" s="349"/>
      <c r="D22" s="349"/>
      <c r="E22" s="349"/>
      <c r="F22" s="349"/>
      <c r="G22" s="349"/>
      <c r="H22" s="349"/>
      <c r="I22" s="349"/>
      <c r="J22" s="349"/>
      <c r="K22" s="349"/>
      <c r="L22" s="349"/>
      <c r="M22" s="349"/>
      <c r="N22" s="349"/>
      <c r="O22" s="349"/>
      <c r="P22" s="349"/>
      <c r="Q22" s="349"/>
      <c r="R22" s="349"/>
      <c r="S22" s="349"/>
      <c r="T22" s="349"/>
      <c r="U22" s="352"/>
      <c r="V22" s="1049" t="str">
        <f>IF(V19&lt;&gt;" ",VLOOKUP(V19,$F$40:$H$70,2)," ")</f>
        <v>Marti Tours</v>
      </c>
      <c r="W22" s="1050"/>
      <c r="X22" s="1050"/>
      <c r="Y22" s="1050" t="str">
        <f>IF(Y19&lt;&gt;" ",VLOOKUP(Y19,$F$40:$H$70,2)," ")</f>
        <v>Josafat</v>
      </c>
      <c r="Z22" s="1050"/>
      <c r="AA22" s="1050"/>
      <c r="AB22" s="1050" t="str">
        <f>IF(AB19&lt;&gt;" ",VLOOKUP(AB19,$F$40:$H$70,2)," ")</f>
        <v>Leandro</v>
      </c>
      <c r="AC22" s="1050"/>
      <c r="AD22" s="1050"/>
      <c r="AE22" s="1050" t="str">
        <f>IF(AE19&lt;&gt;" ",VLOOKUP(AE19,$F$40:$H$70,2)," ")</f>
        <v>Serapio</v>
      </c>
      <c r="AF22" s="1050"/>
      <c r="AG22" s="1050"/>
      <c r="AH22" s="1050" t="str">
        <f>IF(AH19&lt;&gt;" ",VLOOKUP(AH19,$F$40:$H$70,2)," ")</f>
        <v>Alberto Magno</v>
      </c>
      <c r="AI22" s="1050"/>
      <c r="AJ22" s="1050"/>
      <c r="AK22" s="1050" t="str">
        <f>IF(AK19&lt;&gt;" ",VLOOKUP(AK19,$F$40:$H$70,2)," ")</f>
        <v>Margarita Esc.</v>
      </c>
      <c r="AL22" s="1050"/>
      <c r="AM22" s="1050"/>
      <c r="AN22" s="1050" t="str">
        <f>IF(AN19&lt;&gt;" ",VLOOKUP(AN19,$F$40:$H$70,2)," ")</f>
        <v>Isabel Hungr.</v>
      </c>
      <c r="AO22" s="1050"/>
      <c r="AP22" s="1066"/>
    </row>
    <row r="23" spans="2:42" ht="9" customHeight="1">
      <c r="B23" s="350"/>
      <c r="C23" s="349"/>
      <c r="D23" s="349"/>
      <c r="E23" s="349"/>
      <c r="F23" s="349"/>
      <c r="G23" s="349"/>
      <c r="H23" s="349"/>
      <c r="I23" s="349"/>
      <c r="J23" s="349"/>
      <c r="K23" s="349"/>
      <c r="L23" s="349"/>
      <c r="M23" s="349"/>
      <c r="N23" s="349"/>
      <c r="O23" s="349"/>
      <c r="P23" s="349"/>
      <c r="Q23" s="349"/>
      <c r="R23" s="349"/>
      <c r="S23" s="349"/>
      <c r="T23" s="349"/>
      <c r="U23" s="352"/>
      <c r="V23" s="1051">
        <f>año!S27</f>
        <v>18</v>
      </c>
      <c r="W23" s="1052"/>
      <c r="X23" s="1052"/>
      <c r="Y23" s="1052">
        <f>año!T27</f>
        <v>19</v>
      </c>
      <c r="Z23" s="1052"/>
      <c r="AA23" s="1052"/>
      <c r="AB23" s="1052">
        <f>año!U27</f>
        <v>20</v>
      </c>
      <c r="AC23" s="1052"/>
      <c r="AD23" s="1052"/>
      <c r="AE23" s="1052">
        <f>año!V27</f>
        <v>21</v>
      </c>
      <c r="AF23" s="1052"/>
      <c r="AG23" s="1052"/>
      <c r="AH23" s="1052">
        <f>año!W27</f>
        <v>22</v>
      </c>
      <c r="AI23" s="1052"/>
      <c r="AJ23" s="1052"/>
      <c r="AK23" s="1052">
        <f>año!X27</f>
        <v>23</v>
      </c>
      <c r="AL23" s="1052"/>
      <c r="AM23" s="1052"/>
      <c r="AN23" s="1064">
        <f>año!Y27</f>
        <v>24</v>
      </c>
      <c r="AO23" s="1064"/>
      <c r="AP23" s="1065"/>
    </row>
    <row r="24" spans="2:42" ht="9" customHeight="1">
      <c r="B24" s="350"/>
      <c r="C24" s="349"/>
      <c r="D24" s="349"/>
      <c r="E24" s="349"/>
      <c r="F24" s="349"/>
      <c r="G24" s="349"/>
      <c r="H24" s="349"/>
      <c r="I24" s="349"/>
      <c r="J24" s="349"/>
      <c r="K24" s="349"/>
      <c r="L24" s="349"/>
      <c r="M24" s="349"/>
      <c r="N24" s="349"/>
      <c r="O24" s="349"/>
      <c r="P24" s="349"/>
      <c r="Q24" s="349"/>
      <c r="R24" s="349"/>
      <c r="S24" s="349"/>
      <c r="T24" s="349"/>
      <c r="U24" s="352"/>
      <c r="V24" s="1051"/>
      <c r="W24" s="1052"/>
      <c r="X24" s="1052"/>
      <c r="Y24" s="1052"/>
      <c r="Z24" s="1052"/>
      <c r="AA24" s="1052"/>
      <c r="AB24" s="1052"/>
      <c r="AC24" s="1052"/>
      <c r="AD24" s="1052"/>
      <c r="AE24" s="1052"/>
      <c r="AF24" s="1052"/>
      <c r="AG24" s="1052"/>
      <c r="AH24" s="1052"/>
      <c r="AI24" s="1052"/>
      <c r="AJ24" s="1052"/>
      <c r="AK24" s="1052"/>
      <c r="AL24" s="1052"/>
      <c r="AM24" s="1052"/>
      <c r="AN24" s="1064"/>
      <c r="AO24" s="1064"/>
      <c r="AP24" s="1065"/>
    </row>
    <row r="25" spans="2:42" ht="9" customHeight="1">
      <c r="B25" s="350"/>
      <c r="C25" s="349"/>
      <c r="D25" s="349"/>
      <c r="E25" s="349"/>
      <c r="F25" s="349"/>
      <c r="G25" s="349"/>
      <c r="H25" s="349"/>
      <c r="I25" s="349"/>
      <c r="J25" s="349"/>
      <c r="K25" s="349"/>
      <c r="L25" s="349"/>
      <c r="M25" s="349"/>
      <c r="N25" s="349"/>
      <c r="O25" s="349"/>
      <c r="P25" s="349"/>
      <c r="Q25" s="349"/>
      <c r="R25" s="349"/>
      <c r="S25" s="349"/>
      <c r="T25" s="349"/>
      <c r="U25" s="352"/>
      <c r="V25" s="1051"/>
      <c r="W25" s="1052"/>
      <c r="X25" s="1052"/>
      <c r="Y25" s="1052"/>
      <c r="Z25" s="1052"/>
      <c r="AA25" s="1052"/>
      <c r="AB25" s="1052"/>
      <c r="AC25" s="1052"/>
      <c r="AD25" s="1052"/>
      <c r="AE25" s="1052"/>
      <c r="AF25" s="1052"/>
      <c r="AG25" s="1052"/>
      <c r="AH25" s="1052"/>
      <c r="AI25" s="1052"/>
      <c r="AJ25" s="1052"/>
      <c r="AK25" s="1052"/>
      <c r="AL25" s="1052"/>
      <c r="AM25" s="1052"/>
      <c r="AN25" s="1064"/>
      <c r="AO25" s="1064"/>
      <c r="AP25" s="1065"/>
    </row>
    <row r="26" spans="2:42" ht="9" customHeight="1">
      <c r="B26" s="350"/>
      <c r="C26" s="349"/>
      <c r="D26" s="349"/>
      <c r="E26" s="349"/>
      <c r="F26" s="349"/>
      <c r="G26" s="349"/>
      <c r="H26" s="349"/>
      <c r="I26" s="349"/>
      <c r="J26" s="349"/>
      <c r="K26" s="349"/>
      <c r="L26" s="349"/>
      <c r="M26" s="349"/>
      <c r="N26" s="349"/>
      <c r="O26" s="349"/>
      <c r="P26" s="349"/>
      <c r="Q26" s="349"/>
      <c r="R26" s="349"/>
      <c r="S26" s="349"/>
      <c r="T26" s="349"/>
      <c r="U26" s="352"/>
      <c r="V26" s="1049" t="str">
        <f>IF(V23&lt;&gt;" ",VLOOKUP(V23,$F$40:$H$70,2)," ")</f>
        <v>Aurelio</v>
      </c>
      <c r="W26" s="1050"/>
      <c r="X26" s="1050"/>
      <c r="Y26" s="1050" t="str">
        <f>IF(Y23&lt;&gt;" ",VLOOKUP(Y23,$F$40:$H$70,2)," ")</f>
        <v>Matilde</v>
      </c>
      <c r="Z26" s="1050"/>
      <c r="AA26" s="1050"/>
      <c r="AB26" s="1050" t="str">
        <f>IF(AB23&lt;&gt;" ",VLOOKUP(AB23,$F$40:$H$70,2)," ")</f>
        <v>Octavio</v>
      </c>
      <c r="AC26" s="1050"/>
      <c r="AD26" s="1050"/>
      <c r="AE26" s="1050" t="str">
        <f>IF(AE23&lt;&gt;" ",VLOOKUP(AE23,$F$40:$H$70,2)," ")</f>
        <v>Presentación</v>
      </c>
      <c r="AF26" s="1050"/>
      <c r="AG26" s="1050"/>
      <c r="AH26" s="1050" t="str">
        <f>IF(AH23&lt;&gt;" ",VLOOKUP(AH23,$F$40:$H$70,2)," ")</f>
        <v>Cecilia</v>
      </c>
      <c r="AI26" s="1050"/>
      <c r="AJ26" s="1050"/>
      <c r="AK26" s="1050" t="str">
        <f>IF(AK23&lt;&gt;" ",VLOOKUP(AK23,$F$40:$H$70,2)," ")</f>
        <v>Clemente</v>
      </c>
      <c r="AL26" s="1050"/>
      <c r="AM26" s="1050"/>
      <c r="AN26" s="1050" t="str">
        <f>IF(AN23&lt;&gt;" ",VLOOKUP(AN23,$F$40:$H$70,2)," ")</f>
        <v>Flora</v>
      </c>
      <c r="AO26" s="1050"/>
      <c r="AP26" s="1066"/>
    </row>
    <row r="27" spans="2:42" ht="9" customHeight="1">
      <c r="B27" s="350"/>
      <c r="C27" s="349"/>
      <c r="D27" s="349"/>
      <c r="E27" s="349"/>
      <c r="F27" s="349"/>
      <c r="G27" s="349"/>
      <c r="H27" s="349"/>
      <c r="I27" s="349"/>
      <c r="J27" s="349"/>
      <c r="K27" s="349"/>
      <c r="L27" s="349"/>
      <c r="M27" s="349"/>
      <c r="N27" s="349"/>
      <c r="O27" s="349"/>
      <c r="P27" s="349"/>
      <c r="Q27" s="349"/>
      <c r="R27" s="349"/>
      <c r="S27" s="349"/>
      <c r="T27" s="349"/>
      <c r="U27" s="352"/>
      <c r="V27" s="1051">
        <f>año!S28</f>
        <v>25</v>
      </c>
      <c r="W27" s="1052"/>
      <c r="X27" s="1052"/>
      <c r="Y27" s="1052">
        <f>año!T28</f>
        <v>26</v>
      </c>
      <c r="Z27" s="1052"/>
      <c r="AA27" s="1052"/>
      <c r="AB27" s="1052">
        <f>año!U28</f>
        <v>27</v>
      </c>
      <c r="AC27" s="1052"/>
      <c r="AD27" s="1052"/>
      <c r="AE27" s="1052">
        <f>año!V28</f>
        <v>28</v>
      </c>
      <c r="AF27" s="1052"/>
      <c r="AG27" s="1052"/>
      <c r="AH27" s="1052">
        <f>año!W28</f>
        <v>29</v>
      </c>
      <c r="AI27" s="1052"/>
      <c r="AJ27" s="1052"/>
      <c r="AK27" s="1052">
        <f>año!X28</f>
        <v>30</v>
      </c>
      <c r="AL27" s="1052"/>
      <c r="AM27" s="1052"/>
      <c r="AN27" s="1064" t="str">
        <f>año!Y28</f>
        <v xml:space="preserve"> </v>
      </c>
      <c r="AO27" s="1064"/>
      <c r="AP27" s="1065"/>
    </row>
    <row r="28" spans="2:42" ht="9" customHeight="1">
      <c r="B28" s="350"/>
      <c r="C28" s="349"/>
      <c r="D28" s="349"/>
      <c r="E28" s="349"/>
      <c r="F28" s="349"/>
      <c r="G28" s="349"/>
      <c r="H28" s="349"/>
      <c r="I28" s="349"/>
      <c r="J28" s="349"/>
      <c r="K28" s="349"/>
      <c r="L28" s="349"/>
      <c r="M28" s="349"/>
      <c r="N28" s="349"/>
      <c r="O28" s="349"/>
      <c r="P28" s="349"/>
      <c r="Q28" s="349"/>
      <c r="R28" s="349"/>
      <c r="S28" s="349"/>
      <c r="T28" s="349"/>
      <c r="U28" s="352"/>
      <c r="V28" s="1051"/>
      <c r="W28" s="1052"/>
      <c r="X28" s="1052"/>
      <c r="Y28" s="1052"/>
      <c r="Z28" s="1052"/>
      <c r="AA28" s="1052"/>
      <c r="AB28" s="1052"/>
      <c r="AC28" s="1052"/>
      <c r="AD28" s="1052"/>
      <c r="AE28" s="1052"/>
      <c r="AF28" s="1052"/>
      <c r="AG28" s="1052"/>
      <c r="AH28" s="1052"/>
      <c r="AI28" s="1052"/>
      <c r="AJ28" s="1052"/>
      <c r="AK28" s="1052"/>
      <c r="AL28" s="1052"/>
      <c r="AM28" s="1052"/>
      <c r="AN28" s="1064"/>
      <c r="AO28" s="1064"/>
      <c r="AP28" s="1065"/>
    </row>
    <row r="29" spans="2:42" ht="9" customHeight="1">
      <c r="B29" s="350"/>
      <c r="C29" s="349"/>
      <c r="D29" s="349"/>
      <c r="E29" s="349"/>
      <c r="F29" s="349"/>
      <c r="G29" s="349"/>
      <c r="H29" s="349"/>
      <c r="I29" s="349"/>
      <c r="J29" s="349"/>
      <c r="K29" s="349"/>
      <c r="L29" s="349"/>
      <c r="M29" s="349"/>
      <c r="N29" s="349"/>
      <c r="O29" s="349"/>
      <c r="P29" s="349"/>
      <c r="Q29" s="349"/>
      <c r="R29" s="349"/>
      <c r="S29" s="349"/>
      <c r="T29" s="349"/>
      <c r="U29" s="352"/>
      <c r="V29" s="1051"/>
      <c r="W29" s="1052"/>
      <c r="X29" s="1052"/>
      <c r="Y29" s="1052"/>
      <c r="Z29" s="1052"/>
      <c r="AA29" s="1052"/>
      <c r="AB29" s="1052"/>
      <c r="AC29" s="1052"/>
      <c r="AD29" s="1052"/>
      <c r="AE29" s="1052"/>
      <c r="AF29" s="1052"/>
      <c r="AG29" s="1052"/>
      <c r="AH29" s="1052"/>
      <c r="AI29" s="1052"/>
      <c r="AJ29" s="1052"/>
      <c r="AK29" s="1052"/>
      <c r="AL29" s="1052"/>
      <c r="AM29" s="1052"/>
      <c r="AN29" s="1064"/>
      <c r="AO29" s="1064"/>
      <c r="AP29" s="1065"/>
    </row>
    <row r="30" spans="2:42" ht="9" customHeight="1">
      <c r="B30" s="1100" t="s">
        <v>1002</v>
      </c>
      <c r="C30" s="1101"/>
      <c r="D30" s="1101"/>
      <c r="E30" s="1101"/>
      <c r="F30" s="1101"/>
      <c r="G30" s="1101"/>
      <c r="H30" s="1101"/>
      <c r="I30" s="1101"/>
      <c r="J30" s="1101"/>
      <c r="K30" s="1101"/>
      <c r="L30" s="1101"/>
      <c r="M30" s="1101"/>
      <c r="N30" s="1101"/>
      <c r="O30" s="1101"/>
      <c r="P30" s="1101"/>
      <c r="Q30" s="1101"/>
      <c r="R30" s="1101"/>
      <c r="S30" s="1101"/>
      <c r="T30" s="1101"/>
      <c r="U30" s="1102"/>
      <c r="V30" s="1049" t="str">
        <f>IF(V27&lt;&gt;" ",VLOOKUP(V27,$F$40:$H$70,2)," ")</f>
        <v>Catalina Alej.</v>
      </c>
      <c r="W30" s="1050"/>
      <c r="X30" s="1050"/>
      <c r="Y30" s="1050" t="str">
        <f>IF(Y27&lt;&gt;" ",VLOOKUP(Y27,$F$40:$H$70,2)," ")</f>
        <v>Joan Berchmans</v>
      </c>
      <c r="Z30" s="1050"/>
      <c r="AA30" s="1050"/>
      <c r="AB30" s="1050" t="str">
        <f>IF(AB27&lt;&gt;" ",VLOOKUP(AB27,$F$40:$H$70,2)," ")</f>
        <v>Facundo</v>
      </c>
      <c r="AC30" s="1050"/>
      <c r="AD30" s="1050"/>
      <c r="AE30" s="1050" t="str">
        <f>IF(AE27&lt;&gt;" ",VLOOKUP(AE27,$F$40:$H$70,2)," ")</f>
        <v>Jaime Mata</v>
      </c>
      <c r="AF30" s="1050"/>
      <c r="AG30" s="1050"/>
      <c r="AH30" s="1050" t="str">
        <f>IF(AH27&lt;&gt;" ",VLOOKUP(AH27,$F$40:$H$70,2)," ")</f>
        <v>Saturnino</v>
      </c>
      <c r="AI30" s="1050"/>
      <c r="AJ30" s="1050"/>
      <c r="AK30" s="1050" t="str">
        <f>IF(AK27&lt;&gt;" ",VLOOKUP(AK27,$F$40:$H$70,2)," ")</f>
        <v>Andrés</v>
      </c>
      <c r="AL30" s="1050"/>
      <c r="AM30" s="1050"/>
      <c r="AN30" s="1050" t="str">
        <f>IF(AN27&lt;&gt;" ",VLOOKUP(AN27,$F$40:$H$70,2)," ")</f>
        <v xml:space="preserve"> </v>
      </c>
      <c r="AO30" s="1050"/>
      <c r="AP30" s="1066"/>
    </row>
    <row r="31" spans="2:42" ht="10.5" customHeight="1">
      <c r="B31" s="1100"/>
      <c r="C31" s="1101"/>
      <c r="D31" s="1101"/>
      <c r="E31" s="1101"/>
      <c r="F31" s="1101"/>
      <c r="G31" s="1101"/>
      <c r="H31" s="1101"/>
      <c r="I31" s="1101"/>
      <c r="J31" s="1101"/>
      <c r="K31" s="1101"/>
      <c r="L31" s="1101"/>
      <c r="M31" s="1101"/>
      <c r="N31" s="1101"/>
      <c r="O31" s="1101"/>
      <c r="P31" s="1101"/>
      <c r="Q31" s="1101"/>
      <c r="R31" s="1101"/>
      <c r="S31" s="1101"/>
      <c r="T31" s="1101"/>
      <c r="U31" s="1102"/>
      <c r="V31" s="1051" t="str">
        <f>año!S29</f>
        <v xml:space="preserve"> </v>
      </c>
      <c r="W31" s="1052"/>
      <c r="X31" s="1052"/>
      <c r="Y31" s="1052" t="str">
        <f>año!T29</f>
        <v xml:space="preserve"> </v>
      </c>
      <c r="Z31" s="1052"/>
      <c r="AA31" s="1052"/>
      <c r="AB31" s="1052" t="str">
        <f>año!U29</f>
        <v xml:space="preserve"> </v>
      </c>
      <c r="AC31" s="1052"/>
      <c r="AD31" s="1052"/>
      <c r="AE31" s="189"/>
      <c r="AF31" s="194"/>
      <c r="AG31" s="192"/>
      <c r="AH31" s="194"/>
      <c r="AI31" s="194"/>
      <c r="AJ31" s="192"/>
      <c r="AK31" s="194"/>
      <c r="AL31" s="194"/>
      <c r="AM31" s="192"/>
      <c r="AN31" s="193"/>
      <c r="AO31" s="194"/>
      <c r="AP31" s="192"/>
    </row>
    <row r="32" spans="2:42" ht="10.5" customHeight="1">
      <c r="B32" s="1100"/>
      <c r="C32" s="782"/>
      <c r="D32" s="782"/>
      <c r="E32" s="782"/>
      <c r="F32" s="782"/>
      <c r="G32" s="782"/>
      <c r="H32" s="782"/>
      <c r="I32" s="782"/>
      <c r="J32" s="782"/>
      <c r="K32" s="782"/>
      <c r="L32" s="782"/>
      <c r="M32" s="782"/>
      <c r="N32" s="782"/>
      <c r="O32" s="782"/>
      <c r="P32" s="782"/>
      <c r="Q32" s="782"/>
      <c r="R32" s="782"/>
      <c r="S32" s="782"/>
      <c r="T32" s="782"/>
      <c r="U32" s="1102"/>
      <c r="V32" s="1051"/>
      <c r="W32" s="1052"/>
      <c r="X32" s="1052"/>
      <c r="Y32" s="1052"/>
      <c r="Z32" s="1052"/>
      <c r="AA32" s="1052"/>
      <c r="AB32" s="1052"/>
      <c r="AC32" s="1052"/>
      <c r="AD32" s="1052"/>
      <c r="AE32" s="190"/>
      <c r="AF32" s="194"/>
      <c r="AG32" s="192" t="s">
        <v>247</v>
      </c>
      <c r="AH32" s="194"/>
      <c r="AI32" s="194"/>
      <c r="AJ32" s="192" t="s">
        <v>247</v>
      </c>
      <c r="AK32" s="194"/>
      <c r="AL32" s="194"/>
      <c r="AM32" s="192" t="s">
        <v>247</v>
      </c>
      <c r="AN32" s="194"/>
      <c r="AO32" s="194"/>
      <c r="AP32" s="192" t="s">
        <v>247</v>
      </c>
    </row>
    <row r="33" spans="1:42" ht="10.5" customHeight="1">
      <c r="B33" s="1103"/>
      <c r="C33" s="1104"/>
      <c r="D33" s="1104"/>
      <c r="E33" s="1104"/>
      <c r="F33" s="1104"/>
      <c r="G33" s="1104"/>
      <c r="H33" s="1104"/>
      <c r="I33" s="1104"/>
      <c r="J33" s="1104"/>
      <c r="K33" s="1104"/>
      <c r="L33" s="1104"/>
      <c r="M33" s="1104"/>
      <c r="N33" s="1104"/>
      <c r="O33" s="1104"/>
      <c r="P33" s="1104"/>
      <c r="Q33" s="1104"/>
      <c r="R33" s="1104"/>
      <c r="S33" s="1104"/>
      <c r="T33" s="1104"/>
      <c r="U33" s="1105"/>
      <c r="V33" s="1051"/>
      <c r="W33" s="1052"/>
      <c r="X33" s="1052"/>
      <c r="Y33" s="1052"/>
      <c r="Z33" s="1052"/>
      <c r="AA33" s="1052"/>
      <c r="AB33" s="1052"/>
      <c r="AC33" s="1052"/>
      <c r="AD33" s="1052"/>
      <c r="AE33" s="191"/>
      <c r="AF33" s="1067">
        <f>luna!$O$73</f>
        <v>17</v>
      </c>
      <c r="AG33" s="1068"/>
      <c r="AH33" s="195"/>
      <c r="AI33" s="1073">
        <f>luna!$R$73</f>
        <v>23</v>
      </c>
      <c r="AJ33" s="1068"/>
      <c r="AK33" s="195"/>
      <c r="AL33" s="1073">
        <f>luna!$Q$73</f>
        <v>2</v>
      </c>
      <c r="AM33" s="1068"/>
      <c r="AN33" s="195"/>
      <c r="AO33" s="1067">
        <f>luna!$P$73</f>
        <v>9</v>
      </c>
      <c r="AP33" s="1068"/>
    </row>
    <row r="34" spans="1:42" ht="9" customHeight="1">
      <c r="B34" s="179"/>
      <c r="C34" s="180"/>
      <c r="D34" s="180"/>
      <c r="E34" s="180"/>
      <c r="F34" s="180"/>
      <c r="G34" s="180"/>
      <c r="H34" s="180"/>
      <c r="I34" s="180"/>
      <c r="J34" s="180"/>
      <c r="K34" s="180"/>
      <c r="L34" s="180"/>
      <c r="M34" s="180"/>
      <c r="N34" s="180"/>
      <c r="O34" s="180"/>
      <c r="P34" s="180"/>
      <c r="Q34" s="180"/>
      <c r="R34" s="180"/>
      <c r="S34" s="180"/>
      <c r="T34" s="180"/>
      <c r="U34" s="181"/>
      <c r="V34" s="1049" t="str">
        <f>IF(V31&lt;&gt;" ",VLOOKUP(V31,$F$40:$H$70,2)," ")</f>
        <v xml:space="preserve"> </v>
      </c>
      <c r="W34" s="1050"/>
      <c r="X34" s="1050"/>
      <c r="Y34" s="1050" t="str">
        <f>IF(Y31&lt;&gt;" ",VLOOKUP(Y31,$F$40:$H$70,2)," ")</f>
        <v xml:space="preserve"> </v>
      </c>
      <c r="Z34" s="1050"/>
      <c r="AA34" s="1050"/>
      <c r="AB34" s="182"/>
      <c r="AC34" s="182"/>
      <c r="AD34" s="182"/>
      <c r="AE34" s="1078" t="s">
        <v>597</v>
      </c>
      <c r="AF34" s="1079"/>
      <c r="AG34" s="1080"/>
      <c r="AH34" s="1081" t="s">
        <v>598</v>
      </c>
      <c r="AI34" s="1081"/>
      <c r="AJ34" s="1081"/>
      <c r="AK34" s="1081" t="s">
        <v>599</v>
      </c>
      <c r="AL34" s="1081"/>
      <c r="AM34" s="1081"/>
      <c r="AN34" s="1081" t="s">
        <v>600</v>
      </c>
      <c r="AO34" s="1081"/>
      <c r="AP34" s="1081"/>
    </row>
    <row r="35" spans="1:42" ht="13.8" thickBot="1">
      <c r="B35" s="172">
        <v>1</v>
      </c>
      <c r="C35" s="170" t="s">
        <v>396</v>
      </c>
      <c r="D35" s="163"/>
      <c r="E35" s="163"/>
      <c r="F35" s="163"/>
      <c r="G35" s="414">
        <v>26</v>
      </c>
      <c r="H35" s="204" t="s">
        <v>395</v>
      </c>
      <c r="K35" s="414">
        <v>9</v>
      </c>
      <c r="L35" s="204" t="s">
        <v>71</v>
      </c>
      <c r="M35" s="163"/>
      <c r="N35" s="163"/>
      <c r="O35" s="163"/>
      <c r="P35" s="163"/>
      <c r="Q35" s="172">
        <v>6</v>
      </c>
      <c r="R35" s="170" t="s">
        <v>393</v>
      </c>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4"/>
    </row>
    <row r="36" spans="1:42" ht="16.2" thickBot="1">
      <c r="B36" s="203">
        <v>11</v>
      </c>
      <c r="C36" s="171" t="s">
        <v>397</v>
      </c>
      <c r="D36" s="165"/>
      <c r="E36" s="165"/>
      <c r="F36" s="165"/>
      <c r="K36" s="172">
        <v>12</v>
      </c>
      <c r="L36" s="394" t="s">
        <v>556</v>
      </c>
      <c r="M36" s="165"/>
      <c r="N36" s="165"/>
      <c r="O36" s="165"/>
      <c r="P36" s="165"/>
      <c r="Q36" s="172">
        <v>8</v>
      </c>
      <c r="R36" s="171" t="s">
        <v>394</v>
      </c>
      <c r="S36" s="165"/>
      <c r="T36" s="165"/>
      <c r="U36" s="165"/>
      <c r="V36" s="172">
        <v>25</v>
      </c>
      <c r="W36" s="188" t="s">
        <v>413</v>
      </c>
      <c r="X36" s="165"/>
      <c r="Y36" s="165"/>
      <c r="Z36" s="165"/>
      <c r="AA36" s="1089" t="s">
        <v>412</v>
      </c>
      <c r="AB36" s="1090"/>
      <c r="AC36" s="1090"/>
      <c r="AD36" s="1090"/>
      <c r="AE36" s="1090"/>
      <c r="AF36" s="1090"/>
      <c r="AG36" s="1091"/>
      <c r="AH36" s="165"/>
      <c r="AI36" s="1092" t="s">
        <v>411</v>
      </c>
      <c r="AJ36" s="1093"/>
      <c r="AK36" s="1093"/>
      <c r="AL36" s="1093"/>
      <c r="AM36" s="1093"/>
      <c r="AN36" s="1093"/>
      <c r="AO36" s="1094"/>
      <c r="AP36" s="166"/>
    </row>
    <row r="37" spans="1:42">
      <c r="B37" s="167"/>
      <c r="C37" s="168"/>
      <c r="D37" s="168"/>
      <c r="E37" s="168"/>
      <c r="F37" s="168"/>
      <c r="G37" s="168"/>
      <c r="H37" s="168"/>
      <c r="I37" s="168"/>
      <c r="J37" s="168"/>
      <c r="K37" s="168"/>
      <c r="L37" s="168"/>
      <c r="M37" s="168"/>
      <c r="N37" s="168"/>
      <c r="O37" s="168"/>
      <c r="P37" s="168"/>
      <c r="Q37" s="414">
        <v>7</v>
      </c>
      <c r="R37" s="343" t="s">
        <v>963</v>
      </c>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9"/>
    </row>
    <row r="38" spans="1:42" hidden="1">
      <c r="N38">
        <f>MARZO!M38</f>
        <v>8</v>
      </c>
      <c r="O38">
        <f>MARZO!N38</f>
        <v>4</v>
      </c>
      <c r="P38">
        <f>MARZO!O38</f>
        <v>0</v>
      </c>
      <c r="Q38" t="str">
        <f>MARZO!P38</f>
        <v>Dijous Sant</v>
      </c>
      <c r="R38">
        <f>MARZO!Q38</f>
        <v>0</v>
      </c>
      <c r="U38" s="1106">
        <f>calendario!$H$59</f>
        <v>45431</v>
      </c>
      <c r="V38" s="1106"/>
      <c r="W38" s="1106"/>
      <c r="X38" s="1106"/>
      <c r="AD38">
        <f>FEBRERO!AI38</f>
        <v>31</v>
      </c>
      <c r="AE38">
        <f>FEBRERO!AJ38</f>
        <v>29</v>
      </c>
      <c r="AF38">
        <f>FEBRERO!AK38</f>
        <v>0</v>
      </c>
      <c r="AG38" t="str">
        <f>FEBRERO!AL38</f>
        <v>Pasqua</v>
      </c>
      <c r="AI38">
        <f>FEBRERO!AN38</f>
        <v>0</v>
      </c>
      <c r="AJ38">
        <f>FEBRERO!AO38</f>
        <v>14</v>
      </c>
      <c r="AM38">
        <f>FEBRERO!$AO$38</f>
        <v>14</v>
      </c>
    </row>
    <row r="39" spans="1:42" hidden="1">
      <c r="N39" t="str">
        <f>MARZO!M39</f>
        <v>NO</v>
      </c>
      <c r="O39">
        <f>MARZO!N39</f>
        <v>0</v>
      </c>
      <c r="P39">
        <f>MARZO!O39</f>
        <v>0</v>
      </c>
      <c r="Q39">
        <f>MARZO!P39</f>
        <v>0</v>
      </c>
      <c r="R39">
        <f>MARZO!Q39</f>
        <v>0</v>
      </c>
      <c r="U39" s="32">
        <f>DAY(U38)</f>
        <v>19</v>
      </c>
      <c r="V39" s="32">
        <f>MONTH(U38)</f>
        <v>5</v>
      </c>
      <c r="W39" s="31"/>
      <c r="X39" s="31"/>
      <c r="AD39" t="str">
        <f>FEBRERO!AI39</f>
        <v>NO</v>
      </c>
      <c r="AG39" s="176">
        <f>FEBRERO!AL39</f>
        <v>45382</v>
      </c>
      <c r="AH39" s="176"/>
    </row>
    <row r="40" spans="1:42" ht="14.4" hidden="1">
      <c r="A40" s="336"/>
      <c r="F40" s="175">
        <v>1</v>
      </c>
      <c r="G40" s="175" t="s">
        <v>566</v>
      </c>
      <c r="N40">
        <f>MARZO!M40</f>
        <v>8</v>
      </c>
      <c r="O40">
        <f>MARZO!N40</f>
        <v>0</v>
      </c>
      <c r="P40">
        <f>MARZO!O40</f>
        <v>0</v>
      </c>
      <c r="Q40">
        <f>MARZO!P40</f>
        <v>0</v>
      </c>
      <c r="R40">
        <f>MARZO!Q40</f>
        <v>0</v>
      </c>
      <c r="U40" s="32">
        <f>IF(V39=5,U39,"NO")</f>
        <v>19</v>
      </c>
      <c r="V40" s="32"/>
      <c r="W40" s="30"/>
      <c r="X40" s="30"/>
    </row>
    <row r="41" spans="1:42" ht="14.4" hidden="1">
      <c r="A41" s="336"/>
      <c r="F41" s="175">
        <v>2</v>
      </c>
      <c r="G41" s="175" t="s">
        <v>567</v>
      </c>
      <c r="N41" t="str">
        <f>MARZO!M41</f>
        <v>NO</v>
      </c>
      <c r="O41">
        <f>MARZO!N41</f>
        <v>0</v>
      </c>
      <c r="P41">
        <f>MARZO!O41</f>
        <v>0</v>
      </c>
      <c r="Q41">
        <f>MARZO!P41</f>
        <v>0</v>
      </c>
      <c r="R41">
        <f>MARZO!Q41</f>
        <v>0</v>
      </c>
      <c r="U41" s="32" t="str">
        <f>IF(V39=6,U39,"NO")</f>
        <v>NO</v>
      </c>
      <c r="V41" s="32"/>
      <c r="W41" s="30"/>
      <c r="X41" s="30"/>
    </row>
    <row r="42" spans="1:42" ht="14.4" hidden="1">
      <c r="A42" s="336"/>
      <c r="F42" s="175">
        <v>3</v>
      </c>
      <c r="G42" s="175" t="s">
        <v>701</v>
      </c>
    </row>
    <row r="43" spans="1:42" ht="14.4" hidden="1">
      <c r="A43" s="336"/>
      <c r="F43" s="175">
        <v>4</v>
      </c>
      <c r="G43" s="175" t="s">
        <v>568</v>
      </c>
    </row>
    <row r="44" spans="1:42" ht="14.4" hidden="1">
      <c r="A44" s="336"/>
      <c r="F44" s="175">
        <v>5</v>
      </c>
      <c r="G44" s="175" t="s">
        <v>702</v>
      </c>
    </row>
    <row r="45" spans="1:42" ht="14.4" hidden="1">
      <c r="A45" s="336"/>
      <c r="F45" s="175">
        <v>6</v>
      </c>
      <c r="G45" s="175" t="s">
        <v>703</v>
      </c>
    </row>
    <row r="46" spans="1:42" ht="14.4" hidden="1">
      <c r="A46" s="336"/>
      <c r="F46" s="175">
        <v>7</v>
      </c>
      <c r="G46" s="175" t="s">
        <v>570</v>
      </c>
    </row>
    <row r="47" spans="1:42" ht="14.4" hidden="1">
      <c r="A47" s="336"/>
      <c r="F47" s="175">
        <v>8</v>
      </c>
      <c r="G47" s="175" t="s">
        <v>435</v>
      </c>
    </row>
    <row r="48" spans="1:42" ht="14.4" hidden="1">
      <c r="A48" s="336"/>
      <c r="F48" s="175">
        <v>9</v>
      </c>
      <c r="G48" s="175" t="s">
        <v>571</v>
      </c>
    </row>
    <row r="49" spans="1:7" ht="14.4" hidden="1">
      <c r="A49" s="336"/>
      <c r="F49" s="175">
        <v>10</v>
      </c>
      <c r="G49" s="175" t="s">
        <v>704</v>
      </c>
    </row>
    <row r="50" spans="1:7" ht="14.4" hidden="1">
      <c r="A50" s="336"/>
      <c r="F50" s="175">
        <v>11</v>
      </c>
      <c r="G50" s="175" t="s">
        <v>705</v>
      </c>
    </row>
    <row r="51" spans="1:7" ht="14.4" hidden="1">
      <c r="A51" s="336"/>
      <c r="F51" s="175">
        <v>12</v>
      </c>
      <c r="G51" s="175" t="s">
        <v>706</v>
      </c>
    </row>
    <row r="52" spans="1:7" ht="14.4" hidden="1">
      <c r="A52" s="336"/>
      <c r="F52" s="175">
        <v>13</v>
      </c>
      <c r="G52" s="175" t="s">
        <v>572</v>
      </c>
    </row>
    <row r="53" spans="1:7" ht="14.4" hidden="1">
      <c r="A53" s="336"/>
      <c r="F53" s="175">
        <v>14</v>
      </c>
      <c r="G53" s="175" t="s">
        <v>707</v>
      </c>
    </row>
    <row r="54" spans="1:7" ht="14.4" hidden="1">
      <c r="A54" s="336"/>
      <c r="F54" s="175">
        <v>15</v>
      </c>
      <c r="G54" s="175" t="s">
        <v>708</v>
      </c>
    </row>
    <row r="55" spans="1:7" ht="14.4" hidden="1">
      <c r="A55" s="336"/>
      <c r="F55" s="175">
        <v>16</v>
      </c>
      <c r="G55" s="175" t="s">
        <v>709</v>
      </c>
    </row>
    <row r="56" spans="1:7" ht="14.4" hidden="1">
      <c r="A56" s="336"/>
      <c r="F56" s="175">
        <v>17</v>
      </c>
      <c r="G56" s="175" t="s">
        <v>710</v>
      </c>
    </row>
    <row r="57" spans="1:7" ht="14.4" hidden="1">
      <c r="A57" s="336"/>
      <c r="F57" s="175">
        <v>18</v>
      </c>
      <c r="G57" s="175" t="s">
        <v>575</v>
      </c>
    </row>
    <row r="58" spans="1:7" ht="14.4" hidden="1">
      <c r="A58" s="336"/>
      <c r="F58" s="175">
        <v>19</v>
      </c>
      <c r="G58" s="175" t="s">
        <v>447</v>
      </c>
    </row>
    <row r="59" spans="1:7" ht="14.4" hidden="1">
      <c r="A59" s="336"/>
      <c r="F59" s="175">
        <v>20</v>
      </c>
      <c r="G59" s="175" t="s">
        <v>577</v>
      </c>
    </row>
    <row r="60" spans="1:7" ht="14.4" hidden="1">
      <c r="A60" s="336"/>
      <c r="F60" s="175">
        <v>21</v>
      </c>
      <c r="G60" s="175" t="s">
        <v>578</v>
      </c>
    </row>
    <row r="61" spans="1:7" ht="14.4" hidden="1">
      <c r="A61" s="336"/>
      <c r="F61" s="175">
        <v>22</v>
      </c>
      <c r="G61" s="175" t="s">
        <v>579</v>
      </c>
    </row>
    <row r="62" spans="1:7" ht="14.4" hidden="1">
      <c r="A62" s="336"/>
      <c r="F62" s="175">
        <v>23</v>
      </c>
      <c r="G62" s="175" t="s">
        <v>573</v>
      </c>
    </row>
    <row r="63" spans="1:7" ht="14.4" hidden="1">
      <c r="A63" s="336"/>
      <c r="F63" s="175">
        <v>24</v>
      </c>
      <c r="G63" s="175" t="s">
        <v>580</v>
      </c>
    </row>
    <row r="64" spans="1:7" ht="14.4" hidden="1">
      <c r="A64" s="336"/>
      <c r="F64" s="175">
        <v>25</v>
      </c>
      <c r="G64" s="175" t="s">
        <v>711</v>
      </c>
    </row>
    <row r="65" spans="1:7" ht="14.4" hidden="1">
      <c r="A65" s="336"/>
      <c r="F65" s="175">
        <v>26</v>
      </c>
      <c r="G65" s="175" t="s">
        <v>712</v>
      </c>
    </row>
    <row r="66" spans="1:7" ht="14.4" hidden="1">
      <c r="A66" s="336"/>
      <c r="F66" s="175">
        <v>27</v>
      </c>
      <c r="G66" s="175" t="s">
        <v>713</v>
      </c>
    </row>
    <row r="67" spans="1:7" ht="14.4" hidden="1">
      <c r="A67" s="336"/>
      <c r="F67" s="175">
        <v>28</v>
      </c>
      <c r="G67" s="175" t="s">
        <v>714</v>
      </c>
    </row>
    <row r="68" spans="1:7" ht="14.4" hidden="1">
      <c r="A68" s="336"/>
      <c r="F68" s="175">
        <v>29</v>
      </c>
      <c r="G68" s="175" t="s">
        <v>715</v>
      </c>
    </row>
    <row r="69" spans="1:7" ht="14.4" hidden="1">
      <c r="A69" s="336"/>
      <c r="F69" s="175">
        <v>30</v>
      </c>
      <c r="G69" s="175" t="s">
        <v>581</v>
      </c>
    </row>
    <row r="70" spans="1:7" hidden="1">
      <c r="F70" s="175">
        <v>31</v>
      </c>
      <c r="G70" s="175"/>
    </row>
  </sheetData>
  <customSheetViews>
    <customSheetView guid="{93FD35E9-1E2C-4BB9-BB5F-2E73C17EC4AF}" scale="115" showGridLines="0" showRowCol="0" outlineSymbols="0" zeroValues="0" hiddenRows="1">
      <selection activeCell="AJ1" sqref="AJ1:AN1"/>
      <pageMargins left="0.75" right="0.75" top="1" bottom="1" header="0" footer="0"/>
      <pageSetup paperSize="9" orientation="portrait" r:id="rId1"/>
      <headerFooter alignWithMargins="0"/>
    </customSheetView>
  </customSheetViews>
  <mergeCells count="101">
    <mergeCell ref="B30:U33"/>
    <mergeCell ref="AN19:AP21"/>
    <mergeCell ref="AH23:AJ25"/>
    <mergeCell ref="AK22:AM22"/>
    <mergeCell ref="AN22:AP22"/>
    <mergeCell ref="AH22:AJ22"/>
    <mergeCell ref="AK23:AM25"/>
    <mergeCell ref="AN23:AP25"/>
    <mergeCell ref="U38:X38"/>
    <mergeCell ref="AH27:AJ29"/>
    <mergeCell ref="AK27:AM29"/>
    <mergeCell ref="AA36:AG36"/>
    <mergeCell ref="AI36:AO36"/>
    <mergeCell ref="AB27:AD29"/>
    <mergeCell ref="AB30:AD30"/>
    <mergeCell ref="V34:X34"/>
    <mergeCell ref="Y34:AA34"/>
    <mergeCell ref="AN27:AP29"/>
    <mergeCell ref="Y27:AA29"/>
    <mergeCell ref="AN34:AP34"/>
    <mergeCell ref="AE34:AG34"/>
    <mergeCell ref="AH34:AJ34"/>
    <mergeCell ref="AI33:AJ33"/>
    <mergeCell ref="AL33:AM33"/>
    <mergeCell ref="AK34:AM34"/>
    <mergeCell ref="AH30:AJ30"/>
    <mergeCell ref="AE30:AG30"/>
    <mergeCell ref="AK30:AM30"/>
    <mergeCell ref="AE27:AG29"/>
    <mergeCell ref="V30:X30"/>
    <mergeCell ref="Y30:AA30"/>
    <mergeCell ref="V27:X29"/>
    <mergeCell ref="V31:X33"/>
    <mergeCell ref="Y31:AA33"/>
    <mergeCell ref="AB31:AD33"/>
    <mergeCell ref="V19:X21"/>
    <mergeCell ref="Y19:AA21"/>
    <mergeCell ref="AB19:AD21"/>
    <mergeCell ref="V26:X26"/>
    <mergeCell ref="Y26:AA26"/>
    <mergeCell ref="V15:X17"/>
    <mergeCell ref="Y15:AA17"/>
    <mergeCell ref="AB15:AD17"/>
    <mergeCell ref="V10:X10"/>
    <mergeCell ref="Y10:AA10"/>
    <mergeCell ref="V23:X25"/>
    <mergeCell ref="V18:X18"/>
    <mergeCell ref="Y18:AA18"/>
    <mergeCell ref="AB18:AD18"/>
    <mergeCell ref="V22:X22"/>
    <mergeCell ref="AB14:AD14"/>
    <mergeCell ref="AB23:AD25"/>
    <mergeCell ref="Y23:AA25"/>
    <mergeCell ref="AE23:AG25"/>
    <mergeCell ref="Y22:AA22"/>
    <mergeCell ref="AB22:AD22"/>
    <mergeCell ref="AE22:AG22"/>
    <mergeCell ref="AH11:AJ13"/>
    <mergeCell ref="AK11:AM13"/>
    <mergeCell ref="AN11:AP13"/>
    <mergeCell ref="AO33:AP33"/>
    <mergeCell ref="AF33:AG33"/>
    <mergeCell ref="AE19:AG21"/>
    <mergeCell ref="AE18:AG18"/>
    <mergeCell ref="AH18:AJ18"/>
    <mergeCell ref="AK18:AM18"/>
    <mergeCell ref="AH26:AJ26"/>
    <mergeCell ref="AK26:AM26"/>
    <mergeCell ref="AN26:AP26"/>
    <mergeCell ref="AN14:AP14"/>
    <mergeCell ref="AN18:AP18"/>
    <mergeCell ref="AH15:AJ17"/>
    <mergeCell ref="AH19:AJ21"/>
    <mergeCell ref="AE26:AG26"/>
    <mergeCell ref="AB26:AD26"/>
    <mergeCell ref="AK19:AM21"/>
    <mergeCell ref="AN30:AP30"/>
    <mergeCell ref="B1:U3"/>
    <mergeCell ref="V11:X13"/>
    <mergeCell ref="Y11:AA13"/>
    <mergeCell ref="AB11:AD13"/>
    <mergeCell ref="AE11:AG13"/>
    <mergeCell ref="AE15:AG17"/>
    <mergeCell ref="AO1:AP1"/>
    <mergeCell ref="AD2:AH4"/>
    <mergeCell ref="AD5:AH7"/>
    <mergeCell ref="AB10:AD10"/>
    <mergeCell ref="AE10:AG10"/>
    <mergeCell ref="AH10:AJ10"/>
    <mergeCell ref="AK10:AM10"/>
    <mergeCell ref="AN10:AP10"/>
    <mergeCell ref="AJ1:AN1"/>
    <mergeCell ref="AK15:AM17"/>
    <mergeCell ref="AN15:AP17"/>
    <mergeCell ref="V14:X14"/>
    <mergeCell ref="Y14:AA14"/>
    <mergeCell ref="AE14:AG14"/>
    <mergeCell ref="AH14:AJ14"/>
    <mergeCell ref="AK14:AM14"/>
    <mergeCell ref="V1:Z1"/>
    <mergeCell ref="AA1:AB1"/>
  </mergeCells>
  <phoneticPr fontId="24" type="noConversion"/>
  <conditionalFormatting sqref="V11:AP13">
    <cfRule type="cellIs" dxfId="145" priority="6" stopIfTrue="1" operator="equal">
      <formula>1</formula>
    </cfRule>
  </conditionalFormatting>
  <conditionalFormatting sqref="AE15:AP17 V19:AD21">
    <cfRule type="cellIs" dxfId="144" priority="7" stopIfTrue="1" operator="equal">
      <formula>11</formula>
    </cfRule>
  </conditionalFormatting>
  <conditionalFormatting sqref="AO3:AP3 AJ4:AN4">
    <cfRule type="cellIs" dxfId="143" priority="8" stopIfTrue="1" operator="equal">
      <formula>6</formula>
    </cfRule>
  </conditionalFormatting>
  <conditionalFormatting sqref="AJ4:AP4">
    <cfRule type="cellIs" dxfId="142" priority="10" stopIfTrue="1" operator="equal">
      <formula>8</formula>
    </cfRule>
  </conditionalFormatting>
  <conditionalFormatting sqref="AM6:AP6 AJ7:AL7 G35">
    <cfRule type="cellIs" dxfId="141" priority="11" stopIfTrue="1" operator="equal">
      <formula>25</formula>
    </cfRule>
  </conditionalFormatting>
  <conditionalFormatting sqref="W4:AB4 V5">
    <cfRule type="cellIs" dxfId="140" priority="12" stopIfTrue="1" operator="equal">
      <formula>9</formula>
    </cfRule>
  </conditionalFormatting>
  <conditionalFormatting sqref="Z4:AB4 V5:Y5">
    <cfRule type="cellIs" dxfId="139" priority="14" stopIfTrue="1" operator="equal">
      <formula>12</formula>
    </cfRule>
  </conditionalFormatting>
  <conditionalFormatting sqref="AP3 AJ4:AO4">
    <cfRule type="cellIs" dxfId="138" priority="3" stopIfTrue="1" operator="equal">
      <formula>7</formula>
    </cfRule>
  </conditionalFormatting>
  <conditionalFormatting sqref="AN6:AP6 AJ7:AM7">
    <cfRule type="cellIs" dxfId="137" priority="2" operator="equal">
      <formula>26</formula>
    </cfRule>
  </conditionalFormatting>
  <conditionalFormatting sqref="K35">
    <cfRule type="cellIs" dxfId="136" priority="1" stopIfTrue="1" operator="equal">
      <formula>25</formula>
    </cfRule>
  </conditionalFormatting>
  <hyperlinks>
    <hyperlink ref="AD5:AH7" location="año!A1" display="año!A1"/>
    <hyperlink ref="V1:Z1" location="OCTUBRE!A1" display="OCTUBRE!A1"/>
    <hyperlink ref="AJ1:AN1" location="DICIEMBRE!A1" display="DICIEMBRE!A1"/>
    <hyperlink ref="AI36:AO36" location="PORTADA!A1" display="IR A PORTADA"/>
    <hyperlink ref="AA36:AG36" location="año!A1" display="IR A AÑO COMPLETO"/>
  </hyperlinks>
  <pageMargins left="0.75" right="0.75" top="1" bottom="1" header="0" footer="0"/>
  <pageSetup paperSize="9" orientation="portrait" r:id="rId2"/>
  <headerFooter alignWithMargins="0"/>
  <drawing r:id="rId3"/>
</worksheet>
</file>

<file path=xl/worksheets/sheet8.xml><?xml version="1.0" encoding="utf-8"?>
<worksheet xmlns="http://schemas.openxmlformats.org/spreadsheetml/2006/main" xmlns:r="http://schemas.openxmlformats.org/officeDocument/2006/relationships">
  <sheetPr codeName="Hoja8"/>
  <dimension ref="A1:AP71"/>
  <sheetViews>
    <sheetView showGridLines="0" showRowColHeaders="0" showZeros="0" showOutlineSymbols="0" zoomScale="125" zoomScaleNormal="125" workbookViewId="0">
      <selection activeCell="F36" sqref="F36"/>
    </sheetView>
  </sheetViews>
  <sheetFormatPr baseColWidth="10" defaultColWidth="3.33203125" defaultRowHeight="13.2"/>
  <sheetData>
    <row r="1" spans="2:42" ht="10.5" customHeight="1" thickBot="1">
      <c r="B1" s="1107" t="s">
        <v>991</v>
      </c>
      <c r="C1" s="1096"/>
      <c r="D1" s="1096"/>
      <c r="E1" s="1096"/>
      <c r="F1" s="1096"/>
      <c r="G1" s="1096"/>
      <c r="H1" s="1096"/>
      <c r="I1" s="1096"/>
      <c r="J1" s="1096"/>
      <c r="K1" s="1096"/>
      <c r="L1" s="1096"/>
      <c r="M1" s="1096"/>
      <c r="N1" s="1096"/>
      <c r="O1" s="1096"/>
      <c r="P1" s="1096"/>
      <c r="Q1" s="1096"/>
      <c r="R1" s="1096"/>
      <c r="S1" s="1096"/>
      <c r="T1" s="1096"/>
      <c r="U1" s="1097"/>
      <c r="V1" s="1055" t="str">
        <f>año!$C$22</f>
        <v>SEPTIEMBRE</v>
      </c>
      <c r="W1" s="1056"/>
      <c r="X1" s="1056"/>
      <c r="Y1" s="1056"/>
      <c r="Z1" s="1056"/>
      <c r="AA1" s="1057">
        <f>año!$O$1</f>
        <v>2024</v>
      </c>
      <c r="AB1" s="1058"/>
      <c r="AJ1" s="1055" t="str">
        <f>año!$S$22</f>
        <v>NOVIEMBRE</v>
      </c>
      <c r="AK1" s="1056"/>
      <c r="AL1" s="1056"/>
      <c r="AM1" s="1056"/>
      <c r="AN1" s="1056"/>
      <c r="AO1" s="1098">
        <f>año!$O$1</f>
        <v>2024</v>
      </c>
      <c r="AP1" s="1099"/>
    </row>
    <row r="2" spans="2:42" ht="9" customHeight="1" thickBot="1">
      <c r="B2" s="1107"/>
      <c r="C2" s="1096"/>
      <c r="D2" s="1096"/>
      <c r="E2" s="1096"/>
      <c r="F2" s="1096"/>
      <c r="G2" s="1096"/>
      <c r="H2" s="1096"/>
      <c r="I2" s="1096"/>
      <c r="J2" s="1096"/>
      <c r="K2" s="1096"/>
      <c r="L2" s="1096"/>
      <c r="M2" s="1096"/>
      <c r="N2" s="1096"/>
      <c r="O2" s="1096"/>
      <c r="P2" s="1096"/>
      <c r="Q2" s="1096"/>
      <c r="R2" s="1096"/>
      <c r="S2" s="1096"/>
      <c r="T2" s="1096"/>
      <c r="U2" s="1097"/>
      <c r="V2" s="119" t="s">
        <v>20</v>
      </c>
      <c r="W2" s="120" t="s">
        <v>17</v>
      </c>
      <c r="X2" s="120" t="s">
        <v>29</v>
      </c>
      <c r="Y2" s="120" t="s">
        <v>24</v>
      </c>
      <c r="Z2" s="120" t="s">
        <v>12</v>
      </c>
      <c r="AA2" s="120" t="s">
        <v>7</v>
      </c>
      <c r="AB2" s="121" t="s">
        <v>15</v>
      </c>
      <c r="AD2" s="1108" t="str">
        <f>año!$K$22</f>
        <v>OCTUBRE</v>
      </c>
      <c r="AE2" s="1108"/>
      <c r="AF2" s="1108"/>
      <c r="AG2" s="1108"/>
      <c r="AH2" s="1108"/>
      <c r="AJ2" s="119" t="s">
        <v>20</v>
      </c>
      <c r="AK2" s="120" t="s">
        <v>17</v>
      </c>
      <c r="AL2" s="120" t="s">
        <v>29</v>
      </c>
      <c r="AM2" s="120" t="s">
        <v>24</v>
      </c>
      <c r="AN2" s="120" t="s">
        <v>12</v>
      </c>
      <c r="AO2" s="120" t="s">
        <v>7</v>
      </c>
      <c r="AP2" s="121" t="s">
        <v>15</v>
      </c>
    </row>
    <row r="3" spans="2:42" ht="9" customHeight="1">
      <c r="B3" s="1107"/>
      <c r="C3" s="1096"/>
      <c r="D3" s="1096"/>
      <c r="E3" s="1096"/>
      <c r="F3" s="1096"/>
      <c r="G3" s="1096"/>
      <c r="H3" s="1096"/>
      <c r="I3" s="1096"/>
      <c r="J3" s="1096"/>
      <c r="K3" s="1096"/>
      <c r="L3" s="1096"/>
      <c r="M3" s="1096"/>
      <c r="N3" s="1096"/>
      <c r="O3" s="1096"/>
      <c r="P3" s="1096"/>
      <c r="Q3" s="1096"/>
      <c r="R3" s="1096"/>
      <c r="S3" s="1096"/>
      <c r="T3" s="1096"/>
      <c r="U3" s="1097"/>
      <c r="V3" s="135" t="str">
        <f>año!C24</f>
        <v xml:space="preserve"> </v>
      </c>
      <c r="W3" s="123" t="str">
        <f>año!D24</f>
        <v xml:space="preserve"> </v>
      </c>
      <c r="X3" s="123" t="str">
        <f>año!E24</f>
        <v xml:space="preserve"> </v>
      </c>
      <c r="Y3" s="123" t="str">
        <f>año!F24</f>
        <v xml:space="preserve"> </v>
      </c>
      <c r="Z3" s="123" t="str">
        <f>año!G24</f>
        <v xml:space="preserve"> </v>
      </c>
      <c r="AA3" s="123" t="str">
        <f>año!H24</f>
        <v xml:space="preserve"> </v>
      </c>
      <c r="AB3" s="132">
        <f>año!I24</f>
        <v>1</v>
      </c>
      <c r="AD3" s="1108"/>
      <c r="AE3" s="1108"/>
      <c r="AF3" s="1108"/>
      <c r="AG3" s="1108"/>
      <c r="AH3" s="1108"/>
      <c r="AJ3" s="128" t="str">
        <f>año!S24</f>
        <v xml:space="preserve"> </v>
      </c>
      <c r="AK3" s="129" t="str">
        <f>año!T24</f>
        <v xml:space="preserve"> </v>
      </c>
      <c r="AL3" s="129" t="str">
        <f>año!U24</f>
        <v xml:space="preserve"> </v>
      </c>
      <c r="AM3" s="129" t="str">
        <f>año!V24</f>
        <v xml:space="preserve"> </v>
      </c>
      <c r="AN3" s="129">
        <f>año!W24</f>
        <v>1</v>
      </c>
      <c r="AO3" s="129">
        <f>año!X24</f>
        <v>2</v>
      </c>
      <c r="AP3" s="132">
        <f>año!Y24</f>
        <v>3</v>
      </c>
    </row>
    <row r="4" spans="2:42" ht="9" customHeight="1">
      <c r="B4" s="350"/>
      <c r="C4" s="349"/>
      <c r="D4" s="349"/>
      <c r="E4" s="349"/>
      <c r="F4" s="349"/>
      <c r="G4" s="349"/>
      <c r="H4" s="349"/>
      <c r="I4" s="349"/>
      <c r="J4" s="349"/>
      <c r="K4" s="349"/>
      <c r="L4" s="349"/>
      <c r="M4" s="349"/>
      <c r="N4" s="349"/>
      <c r="O4" s="349"/>
      <c r="P4" s="349"/>
      <c r="Q4" s="349"/>
      <c r="R4" s="349"/>
      <c r="S4" s="349"/>
      <c r="T4" s="349"/>
      <c r="U4" s="351"/>
      <c r="V4" s="124">
        <f>año!C25</f>
        <v>2</v>
      </c>
      <c r="W4" s="125">
        <f>año!D25</f>
        <v>3</v>
      </c>
      <c r="X4" s="125">
        <f>año!E25</f>
        <v>4</v>
      </c>
      <c r="Y4" s="125">
        <f>año!F25</f>
        <v>5</v>
      </c>
      <c r="Z4" s="125">
        <f>año!G25</f>
        <v>6</v>
      </c>
      <c r="AA4" s="399">
        <f>año!H25</f>
        <v>7</v>
      </c>
      <c r="AB4" s="416">
        <f>año!I25</f>
        <v>8</v>
      </c>
      <c r="AD4" s="1108"/>
      <c r="AE4" s="1108"/>
      <c r="AF4" s="1108"/>
      <c r="AG4" s="1108"/>
      <c r="AH4" s="1108"/>
      <c r="AJ4" s="130">
        <f>año!S25</f>
        <v>4</v>
      </c>
      <c r="AK4" s="131">
        <f>año!T25</f>
        <v>5</v>
      </c>
      <c r="AL4" s="131">
        <f>año!U25</f>
        <v>6</v>
      </c>
      <c r="AM4" s="131">
        <f>año!V25</f>
        <v>7</v>
      </c>
      <c r="AN4" s="131">
        <f>año!W25</f>
        <v>8</v>
      </c>
      <c r="AO4" s="131">
        <f>año!X25</f>
        <v>9</v>
      </c>
      <c r="AP4" s="133">
        <f>año!Y25</f>
        <v>10</v>
      </c>
    </row>
    <row r="5" spans="2:42" ht="9" customHeight="1">
      <c r="B5" s="350"/>
      <c r="D5" s="349"/>
      <c r="E5" s="349"/>
      <c r="F5" s="349"/>
      <c r="G5" s="349"/>
      <c r="H5" s="349"/>
      <c r="I5" s="349"/>
      <c r="J5" s="349"/>
      <c r="K5" s="349"/>
      <c r="L5" s="349"/>
      <c r="M5" s="349"/>
      <c r="N5" s="349"/>
      <c r="O5" s="349"/>
      <c r="P5" s="349"/>
      <c r="Q5" s="349"/>
      <c r="R5" s="349"/>
      <c r="S5" s="349"/>
      <c r="T5" s="349"/>
      <c r="U5" s="351"/>
      <c r="V5" s="384">
        <f>año!C26</f>
        <v>9</v>
      </c>
      <c r="W5" s="125">
        <f>año!D26</f>
        <v>10</v>
      </c>
      <c r="X5" s="125">
        <f>año!E26</f>
        <v>11</v>
      </c>
      <c r="Y5" s="125">
        <f>año!F26</f>
        <v>12</v>
      </c>
      <c r="Z5" s="125">
        <f>año!G26</f>
        <v>13</v>
      </c>
      <c r="AA5" s="125">
        <f>año!H26</f>
        <v>14</v>
      </c>
      <c r="AB5" s="133">
        <f>año!I26</f>
        <v>15</v>
      </c>
      <c r="AD5" s="1044">
        <f>año!$O$1</f>
        <v>2024</v>
      </c>
      <c r="AE5" s="1045"/>
      <c r="AF5" s="1045"/>
      <c r="AG5" s="1045"/>
      <c r="AH5" s="1045"/>
      <c r="AJ5" s="130">
        <f>año!S26</f>
        <v>11</v>
      </c>
      <c r="AK5" s="131">
        <f>año!T26</f>
        <v>12</v>
      </c>
      <c r="AL5" s="131">
        <f>año!U26</f>
        <v>13</v>
      </c>
      <c r="AM5" s="131">
        <f>año!V26</f>
        <v>14</v>
      </c>
      <c r="AN5" s="131">
        <f>año!W26</f>
        <v>15</v>
      </c>
      <c r="AO5" s="131">
        <f>año!X26</f>
        <v>16</v>
      </c>
      <c r="AP5" s="133">
        <f>año!Y26</f>
        <v>17</v>
      </c>
    </row>
    <row r="6" spans="2:42" ht="9" customHeight="1">
      <c r="B6" s="350"/>
      <c r="C6" s="349"/>
      <c r="D6" s="349"/>
      <c r="E6" s="349"/>
      <c r="F6" s="349"/>
      <c r="G6" s="349"/>
      <c r="H6" s="349"/>
      <c r="I6" s="349"/>
      <c r="J6" s="349"/>
      <c r="K6" s="349"/>
      <c r="L6" s="349"/>
      <c r="M6" s="349"/>
      <c r="N6" s="349"/>
      <c r="O6" s="349"/>
      <c r="P6" s="349"/>
      <c r="Q6" s="349"/>
      <c r="R6" s="349"/>
      <c r="S6" s="349"/>
      <c r="T6" s="349"/>
      <c r="U6" s="351"/>
      <c r="V6" s="124">
        <f>año!C27</f>
        <v>16</v>
      </c>
      <c r="W6" s="125">
        <f>año!D27</f>
        <v>17</v>
      </c>
      <c r="X6" s="125">
        <f>año!E27</f>
        <v>18</v>
      </c>
      <c r="Y6" s="125">
        <f>año!F27</f>
        <v>19</v>
      </c>
      <c r="Z6" s="125">
        <f>año!G27</f>
        <v>20</v>
      </c>
      <c r="AA6" s="125">
        <f>año!H27</f>
        <v>21</v>
      </c>
      <c r="AB6" s="133">
        <f>año!I27</f>
        <v>22</v>
      </c>
      <c r="AD6" s="1045"/>
      <c r="AE6" s="1045"/>
      <c r="AF6" s="1045"/>
      <c r="AG6" s="1045"/>
      <c r="AH6" s="1045"/>
      <c r="AJ6" s="130">
        <f>año!S27</f>
        <v>18</v>
      </c>
      <c r="AK6" s="131">
        <f>año!T27</f>
        <v>19</v>
      </c>
      <c r="AL6" s="131">
        <f>año!U27</f>
        <v>20</v>
      </c>
      <c r="AM6" s="131">
        <f>año!V27</f>
        <v>21</v>
      </c>
      <c r="AN6" s="131">
        <f>año!W27</f>
        <v>22</v>
      </c>
      <c r="AO6" s="131">
        <f>año!X27</f>
        <v>23</v>
      </c>
      <c r="AP6" s="133">
        <f>año!Y27</f>
        <v>24</v>
      </c>
    </row>
    <row r="7" spans="2:42" ht="9" customHeight="1">
      <c r="B7" s="350"/>
      <c r="C7" s="349"/>
      <c r="D7" s="349"/>
      <c r="E7" s="349"/>
      <c r="F7" s="349"/>
      <c r="G7" s="349"/>
      <c r="H7" s="349"/>
      <c r="I7" s="349"/>
      <c r="J7" s="349"/>
      <c r="K7" s="349"/>
      <c r="L7" s="349"/>
      <c r="M7" s="349"/>
      <c r="N7" s="349"/>
      <c r="O7" s="349"/>
      <c r="P7" s="349"/>
      <c r="Q7" s="349"/>
      <c r="R7" s="349"/>
      <c r="S7" s="349"/>
      <c r="T7" s="349"/>
      <c r="U7" s="351"/>
      <c r="V7" s="124">
        <f>año!C28</f>
        <v>23</v>
      </c>
      <c r="W7" s="125">
        <f>año!D28</f>
        <v>24</v>
      </c>
      <c r="X7" s="125">
        <f>año!E28</f>
        <v>25</v>
      </c>
      <c r="Y7" s="125">
        <f>año!F28</f>
        <v>26</v>
      </c>
      <c r="Z7" s="125">
        <f>año!G28</f>
        <v>27</v>
      </c>
      <c r="AA7" s="125">
        <f>año!H28</f>
        <v>28</v>
      </c>
      <c r="AB7" s="133">
        <f>año!I28</f>
        <v>29</v>
      </c>
      <c r="AD7" s="1045"/>
      <c r="AE7" s="1045"/>
      <c r="AF7" s="1045"/>
      <c r="AG7" s="1045"/>
      <c r="AH7" s="1045"/>
      <c r="AJ7" s="130">
        <f>año!S28</f>
        <v>25</v>
      </c>
      <c r="AK7" s="131">
        <f>año!T28</f>
        <v>26</v>
      </c>
      <c r="AL7" s="131">
        <f>año!U28</f>
        <v>27</v>
      </c>
      <c r="AM7" s="131">
        <f>año!V28</f>
        <v>28</v>
      </c>
      <c r="AN7" s="131">
        <f>año!W28</f>
        <v>29</v>
      </c>
      <c r="AO7" s="131">
        <f>año!X28</f>
        <v>30</v>
      </c>
      <c r="AP7" s="133" t="str">
        <f>año!Y28</f>
        <v xml:space="preserve"> </v>
      </c>
    </row>
    <row r="8" spans="2:42" ht="9" customHeight="1" thickBot="1">
      <c r="B8" s="350"/>
      <c r="C8" s="349"/>
      <c r="D8" s="349"/>
      <c r="E8" s="349"/>
      <c r="F8" s="349"/>
      <c r="G8" s="349"/>
      <c r="H8" s="349"/>
      <c r="I8" s="349"/>
      <c r="J8" s="349"/>
      <c r="K8" s="349"/>
      <c r="L8" s="349"/>
      <c r="M8" s="349"/>
      <c r="N8" s="349"/>
      <c r="O8" s="349"/>
      <c r="P8" s="349"/>
      <c r="Q8" s="349"/>
      <c r="R8" s="349"/>
      <c r="S8" s="349"/>
      <c r="T8" s="349"/>
      <c r="U8" s="352"/>
      <c r="V8" s="126">
        <f>año!C29</f>
        <v>30</v>
      </c>
      <c r="W8" s="127" t="str">
        <f>año!D29</f>
        <v xml:space="preserve"> </v>
      </c>
      <c r="X8" s="127" t="str">
        <f>año!E29</f>
        <v xml:space="preserve"> </v>
      </c>
      <c r="Y8" s="127" t="str">
        <f>año!F29</f>
        <v xml:space="preserve"> </v>
      </c>
      <c r="Z8" s="127" t="str">
        <f>año!G29</f>
        <v xml:space="preserve"> </v>
      </c>
      <c r="AA8" s="127" t="str">
        <f>año!H29</f>
        <v xml:space="preserve"> </v>
      </c>
      <c r="AB8" s="134" t="str">
        <f>año!I29</f>
        <v xml:space="preserve"> </v>
      </c>
      <c r="AJ8" s="126" t="str">
        <f>año!S29</f>
        <v xml:space="preserve"> </v>
      </c>
      <c r="AK8" s="127" t="str">
        <f>año!T29</f>
        <v xml:space="preserve"> </v>
      </c>
      <c r="AL8" s="127" t="str">
        <f>año!U29</f>
        <v xml:space="preserve"> </v>
      </c>
      <c r="AM8" s="127" t="str">
        <f>año!V29</f>
        <v xml:space="preserve"> </v>
      </c>
      <c r="AN8" s="127" t="str">
        <f>año!W29</f>
        <v xml:space="preserve"> </v>
      </c>
      <c r="AO8" s="127" t="str">
        <f>año!X29</f>
        <v xml:space="preserve"> </v>
      </c>
      <c r="AP8" s="137" t="str">
        <f>año!Y29</f>
        <v xml:space="preserve"> </v>
      </c>
    </row>
    <row r="9" spans="2:42" ht="9" customHeight="1">
      <c r="B9" s="350"/>
      <c r="C9" s="349"/>
      <c r="D9" s="349"/>
      <c r="E9" s="349"/>
      <c r="F9" s="349"/>
      <c r="G9" s="349"/>
      <c r="H9" s="349"/>
      <c r="I9" s="349"/>
      <c r="J9" s="349"/>
      <c r="K9" s="349"/>
      <c r="L9" s="349"/>
      <c r="M9" s="349"/>
      <c r="N9" s="349"/>
      <c r="O9" s="349"/>
      <c r="P9" s="349"/>
      <c r="Q9" s="349"/>
      <c r="R9" s="349"/>
      <c r="S9" s="349"/>
      <c r="T9" s="349"/>
      <c r="U9" s="352"/>
      <c r="V9" s="112"/>
      <c r="W9" s="112"/>
      <c r="X9" s="112"/>
      <c r="Y9" s="112"/>
      <c r="Z9" s="112"/>
      <c r="AA9" s="112"/>
      <c r="AB9" s="112"/>
      <c r="AC9" s="112"/>
      <c r="AD9" s="112"/>
      <c r="AE9" s="112"/>
      <c r="AF9" s="112"/>
      <c r="AG9" s="112"/>
      <c r="AH9" s="112"/>
      <c r="AI9" s="112"/>
      <c r="AJ9" s="112"/>
      <c r="AK9" s="112"/>
      <c r="AL9" s="112"/>
      <c r="AM9" s="112"/>
      <c r="AN9" s="112"/>
      <c r="AO9" s="112"/>
      <c r="AP9" s="112"/>
    </row>
    <row r="10" spans="2:42" ht="9" customHeight="1">
      <c r="B10" s="350"/>
      <c r="C10" s="349"/>
      <c r="D10" s="349"/>
      <c r="E10" s="349"/>
      <c r="F10" s="349"/>
      <c r="G10" s="349"/>
      <c r="H10" s="349"/>
      <c r="I10" s="349"/>
      <c r="J10" s="349"/>
      <c r="K10" s="349"/>
      <c r="L10" s="349"/>
      <c r="M10" s="349"/>
      <c r="N10" s="349"/>
      <c r="O10" s="349"/>
      <c r="P10" s="349"/>
      <c r="Q10" s="349"/>
      <c r="R10" s="349"/>
      <c r="S10" s="349"/>
      <c r="T10" s="349"/>
      <c r="U10" s="352"/>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047"/>
    </row>
    <row r="11" spans="2:42" ht="9" customHeight="1">
      <c r="B11" s="350"/>
      <c r="C11" s="349"/>
      <c r="D11" s="349"/>
      <c r="E11" s="349"/>
      <c r="F11" s="349"/>
      <c r="G11" s="349"/>
      <c r="H11" s="349"/>
      <c r="I11" s="349"/>
      <c r="J11" s="349"/>
      <c r="K11" s="349"/>
      <c r="L11" s="349"/>
      <c r="M11" s="349"/>
      <c r="N11" s="349"/>
      <c r="O11" s="349"/>
      <c r="P11" s="349"/>
      <c r="Q11" s="349"/>
      <c r="R11" s="349"/>
      <c r="S11" s="349"/>
      <c r="T11" s="349"/>
      <c r="U11" s="352"/>
      <c r="V11" s="1060" t="str">
        <f>año!K24</f>
        <v xml:space="preserve"> </v>
      </c>
      <c r="W11" s="1061"/>
      <c r="X11" s="1061"/>
      <c r="Y11" s="1061">
        <f>año!L24</f>
        <v>1</v>
      </c>
      <c r="Z11" s="1061"/>
      <c r="AA11" s="1061"/>
      <c r="AB11" s="1052">
        <f>año!M24</f>
        <v>2</v>
      </c>
      <c r="AC11" s="1052"/>
      <c r="AD11" s="1052"/>
      <c r="AE11" s="1052">
        <f>año!N24</f>
        <v>3</v>
      </c>
      <c r="AF11" s="1052"/>
      <c r="AG11" s="1052"/>
      <c r="AH11" s="1052">
        <f>año!O24</f>
        <v>4</v>
      </c>
      <c r="AI11" s="1052"/>
      <c r="AJ11" s="1052"/>
      <c r="AK11" s="1052">
        <f>año!P24</f>
        <v>5</v>
      </c>
      <c r="AL11" s="1052"/>
      <c r="AM11" s="1052"/>
      <c r="AN11" s="1062">
        <f>año!Q24</f>
        <v>6</v>
      </c>
      <c r="AO11" s="1062"/>
      <c r="AP11" s="1063"/>
    </row>
    <row r="12" spans="2:42" ht="9" customHeight="1">
      <c r="B12" s="350"/>
      <c r="C12" s="349"/>
      <c r="D12" s="349"/>
      <c r="E12" s="349"/>
      <c r="F12" s="349"/>
      <c r="G12" s="349"/>
      <c r="H12" s="349"/>
      <c r="I12" s="349"/>
      <c r="J12" s="349"/>
      <c r="K12" s="349"/>
      <c r="L12" s="349"/>
      <c r="M12" s="349"/>
      <c r="N12" s="349"/>
      <c r="O12" s="349"/>
      <c r="P12" s="349"/>
      <c r="Q12" s="349"/>
      <c r="R12" s="349"/>
      <c r="S12" s="349"/>
      <c r="T12" s="349"/>
      <c r="U12" s="352"/>
      <c r="V12" s="1051"/>
      <c r="W12" s="1052"/>
      <c r="X12" s="1052"/>
      <c r="Y12" s="1052"/>
      <c r="Z12" s="1052"/>
      <c r="AA12" s="1052"/>
      <c r="AB12" s="1052"/>
      <c r="AC12" s="1052"/>
      <c r="AD12" s="1052"/>
      <c r="AE12" s="1052"/>
      <c r="AF12" s="1052"/>
      <c r="AG12" s="1052"/>
      <c r="AH12" s="1052"/>
      <c r="AI12" s="1052"/>
      <c r="AJ12" s="1052"/>
      <c r="AK12" s="1052"/>
      <c r="AL12" s="1052"/>
      <c r="AM12" s="1052"/>
      <c r="AN12" s="1064"/>
      <c r="AO12" s="1064"/>
      <c r="AP12" s="1065"/>
    </row>
    <row r="13" spans="2:42" ht="9" customHeight="1">
      <c r="B13" s="350"/>
      <c r="C13" s="349"/>
      <c r="D13" s="349"/>
      <c r="E13" s="349"/>
      <c r="F13" s="349"/>
      <c r="G13" s="349"/>
      <c r="H13" s="349"/>
      <c r="I13" s="349"/>
      <c r="J13" s="349"/>
      <c r="K13" s="349"/>
      <c r="L13" s="349"/>
      <c r="M13" s="349"/>
      <c r="N13" s="349"/>
      <c r="O13" s="349"/>
      <c r="P13" s="349"/>
      <c r="Q13" s="349"/>
      <c r="R13" s="349"/>
      <c r="S13" s="349"/>
      <c r="T13" s="349"/>
      <c r="U13" s="352"/>
      <c r="V13" s="1051"/>
      <c r="W13" s="1052"/>
      <c r="X13" s="1052"/>
      <c r="Y13" s="1052"/>
      <c r="Z13" s="1052"/>
      <c r="AA13" s="1052"/>
      <c r="AB13" s="1052"/>
      <c r="AC13" s="1052"/>
      <c r="AD13" s="1052"/>
      <c r="AE13" s="1052"/>
      <c r="AF13" s="1052"/>
      <c r="AG13" s="1052"/>
      <c r="AH13" s="1052"/>
      <c r="AI13" s="1052"/>
      <c r="AJ13" s="1052"/>
      <c r="AK13" s="1052"/>
      <c r="AL13" s="1052"/>
      <c r="AM13" s="1052"/>
      <c r="AN13" s="1064"/>
      <c r="AO13" s="1064"/>
      <c r="AP13" s="1065"/>
    </row>
    <row r="14" spans="2:42" ht="9" customHeight="1">
      <c r="B14" s="350"/>
      <c r="C14" s="349"/>
      <c r="D14" s="349"/>
      <c r="E14" s="349"/>
      <c r="F14" s="349"/>
      <c r="G14" s="349"/>
      <c r="H14" s="349"/>
      <c r="I14" s="349"/>
      <c r="J14" s="349"/>
      <c r="K14" s="349"/>
      <c r="L14" s="349"/>
      <c r="M14" s="349"/>
      <c r="N14" s="349"/>
      <c r="O14" s="349"/>
      <c r="P14" s="349"/>
      <c r="Q14" s="349"/>
      <c r="R14" s="349"/>
      <c r="S14" s="349"/>
      <c r="T14" s="349"/>
      <c r="U14" s="352"/>
      <c r="V14" s="1049" t="str">
        <f>IF(V11&lt;&gt;" ",VLOOKUP(V11,$F$40:$H$70,2)," ")</f>
        <v xml:space="preserve"> </v>
      </c>
      <c r="W14" s="1050"/>
      <c r="X14" s="1050"/>
      <c r="Y14" s="1050" t="str">
        <f>IF(Y11&lt;&gt;" ",VLOOKUP(Y11,$F$40:$H$70,2)," ")</f>
        <v>Teresa N.Jesús</v>
      </c>
      <c r="Z14" s="1050"/>
      <c r="AA14" s="1050"/>
      <c r="AB14" s="1050" t="str">
        <f>IF(AB11&lt;&gt;" ",VLOOKUP(AB11,$F$40:$H$70,2)," ")</f>
        <v>Angeles Cust.</v>
      </c>
      <c r="AC14" s="1050"/>
      <c r="AD14" s="1050"/>
      <c r="AE14" s="1050" t="str">
        <f>IF(AE11&lt;&gt;" ",VLOOKUP(AE11,$F$40:$H$70,2)," ")</f>
        <v>Francisco Borja</v>
      </c>
      <c r="AF14" s="1050"/>
      <c r="AG14" s="1050"/>
      <c r="AH14" s="1050" t="str">
        <f>IF(AH11&lt;&gt;" ",VLOOKUP(AH11,$F$40:$H$70,2)," ")</f>
        <v>Francisco Asís</v>
      </c>
      <c r="AI14" s="1050"/>
      <c r="AJ14" s="1050"/>
      <c r="AK14" s="1050" t="str">
        <f>IF(AK11&lt;&gt;" ",VLOOKUP(AK11,$F$40:$H$70,2)," ")</f>
        <v>Froilán</v>
      </c>
      <c r="AL14" s="1050"/>
      <c r="AM14" s="1050"/>
      <c r="AN14" s="1050" t="str">
        <f>IF(AN11&lt;&gt;" ",VLOOKUP(AN11,$F$40:$H$70,2)," ")</f>
        <v>Bruno</v>
      </c>
      <c r="AO14" s="1050"/>
      <c r="AP14" s="1066"/>
    </row>
    <row r="15" spans="2:42" ht="9" customHeight="1">
      <c r="B15" s="350"/>
      <c r="C15" s="349"/>
      <c r="D15" s="349"/>
      <c r="E15" s="349"/>
      <c r="F15" s="349"/>
      <c r="G15" s="349"/>
      <c r="H15" s="349"/>
      <c r="I15" s="349"/>
      <c r="J15" s="349"/>
      <c r="K15" s="349"/>
      <c r="L15" s="349"/>
      <c r="M15" s="349"/>
      <c r="N15" s="349"/>
      <c r="O15" s="349"/>
      <c r="P15" s="349"/>
      <c r="Q15" s="349"/>
      <c r="R15" s="349"/>
      <c r="S15" s="349"/>
      <c r="T15" s="349"/>
      <c r="U15" s="352"/>
      <c r="V15" s="1051">
        <f>año!K25</f>
        <v>7</v>
      </c>
      <c r="W15" s="1052"/>
      <c r="X15" s="1052"/>
      <c r="Y15" s="1052">
        <f>año!L25</f>
        <v>8</v>
      </c>
      <c r="Z15" s="1052"/>
      <c r="AA15" s="1052"/>
      <c r="AB15" s="1052">
        <f>año!M25</f>
        <v>9</v>
      </c>
      <c r="AC15" s="1052"/>
      <c r="AD15" s="1052"/>
      <c r="AE15" s="1052">
        <f>año!N25</f>
        <v>10</v>
      </c>
      <c r="AF15" s="1052"/>
      <c r="AG15" s="1052"/>
      <c r="AH15" s="1052">
        <f>año!O25</f>
        <v>11</v>
      </c>
      <c r="AI15" s="1052"/>
      <c r="AJ15" s="1052"/>
      <c r="AK15" s="1052">
        <f>año!P25</f>
        <v>12</v>
      </c>
      <c r="AL15" s="1052"/>
      <c r="AM15" s="1052"/>
      <c r="AN15" s="1064">
        <f>año!Q25</f>
        <v>13</v>
      </c>
      <c r="AO15" s="1064"/>
      <c r="AP15" s="1065"/>
    </row>
    <row r="16" spans="2:42" ht="9" customHeight="1">
      <c r="B16" s="350"/>
      <c r="C16" s="349"/>
      <c r="D16" s="349"/>
      <c r="E16" s="349"/>
      <c r="F16" s="349"/>
      <c r="G16" s="349"/>
      <c r="H16" s="349"/>
      <c r="I16" s="349"/>
      <c r="J16" s="349"/>
      <c r="K16" s="349"/>
      <c r="L16" s="349"/>
      <c r="M16" s="349"/>
      <c r="N16" s="349"/>
      <c r="O16" s="349"/>
      <c r="P16" s="349"/>
      <c r="Q16" s="349"/>
      <c r="R16" s="349"/>
      <c r="S16" s="349"/>
      <c r="T16" s="349"/>
      <c r="U16" s="352"/>
      <c r="V16" s="1051"/>
      <c r="W16" s="1052"/>
      <c r="X16" s="1052"/>
      <c r="Y16" s="1052"/>
      <c r="Z16" s="1052"/>
      <c r="AA16" s="1052"/>
      <c r="AB16" s="1052"/>
      <c r="AC16" s="1052"/>
      <c r="AD16" s="1052"/>
      <c r="AE16" s="1052"/>
      <c r="AF16" s="1052"/>
      <c r="AG16" s="1052"/>
      <c r="AH16" s="1052"/>
      <c r="AI16" s="1052"/>
      <c r="AJ16" s="1052"/>
      <c r="AK16" s="1052"/>
      <c r="AL16" s="1052"/>
      <c r="AM16" s="1052"/>
      <c r="AN16" s="1064"/>
      <c r="AO16" s="1064"/>
      <c r="AP16" s="1065"/>
    </row>
    <row r="17" spans="2:42" ht="9" customHeight="1">
      <c r="B17" s="350"/>
      <c r="C17" s="349"/>
      <c r="D17" s="349"/>
      <c r="E17" s="349"/>
      <c r="F17" s="349"/>
      <c r="G17" s="349"/>
      <c r="H17" s="349"/>
      <c r="I17" s="349"/>
      <c r="J17" s="349"/>
      <c r="K17" s="349"/>
      <c r="L17" s="349"/>
      <c r="M17" s="349"/>
      <c r="N17" s="349"/>
      <c r="O17" s="349"/>
      <c r="P17" s="349"/>
      <c r="Q17" s="349"/>
      <c r="R17" s="349"/>
      <c r="S17" s="349"/>
      <c r="T17" s="349"/>
      <c r="U17" s="352"/>
      <c r="V17" s="1051"/>
      <c r="W17" s="1052"/>
      <c r="X17" s="1052"/>
      <c r="Y17" s="1052"/>
      <c r="Z17" s="1052"/>
      <c r="AA17" s="1052"/>
      <c r="AB17" s="1052"/>
      <c r="AC17" s="1052"/>
      <c r="AD17" s="1052"/>
      <c r="AE17" s="1052"/>
      <c r="AF17" s="1052"/>
      <c r="AG17" s="1052"/>
      <c r="AH17" s="1052"/>
      <c r="AI17" s="1052"/>
      <c r="AJ17" s="1052"/>
      <c r="AK17" s="1052"/>
      <c r="AL17" s="1052"/>
      <c r="AM17" s="1052"/>
      <c r="AN17" s="1064"/>
      <c r="AO17" s="1064"/>
      <c r="AP17" s="1065"/>
    </row>
    <row r="18" spans="2:42" ht="9" customHeight="1">
      <c r="B18" s="350"/>
      <c r="C18" s="349"/>
      <c r="D18" s="349"/>
      <c r="E18" s="349"/>
      <c r="F18" s="349"/>
      <c r="G18" s="349"/>
      <c r="H18" s="349"/>
      <c r="I18" s="349"/>
      <c r="J18" s="349"/>
      <c r="K18" s="349"/>
      <c r="L18" s="349"/>
      <c r="M18" s="349"/>
      <c r="N18" s="349"/>
      <c r="O18" s="349"/>
      <c r="P18" s="349"/>
      <c r="Q18" s="349"/>
      <c r="R18" s="349"/>
      <c r="S18" s="349"/>
      <c r="T18" s="349"/>
      <c r="U18" s="352"/>
      <c r="V18" s="1049" t="str">
        <f>IF(V15&lt;&gt;" ",VLOOKUP(V15,$F$40:$H$70,2)," ")</f>
        <v>N.S. Rosario</v>
      </c>
      <c r="W18" s="1050"/>
      <c r="X18" s="1050"/>
      <c r="Y18" s="1050" t="str">
        <f>IF(Y15&lt;&gt;" ",VLOOKUP(Y15,$F$40:$H$70,2)," ")</f>
        <v>Luís Bertran</v>
      </c>
      <c r="Z18" s="1050"/>
      <c r="AA18" s="1050"/>
      <c r="AB18" s="1050" t="str">
        <f>IF(AB15&lt;&gt;" ",VLOOKUP(AB15,$F$40:$H$70,2)," ")</f>
        <v>Dionisio/C.Val.</v>
      </c>
      <c r="AC18" s="1050"/>
      <c r="AD18" s="1050"/>
      <c r="AE18" s="1050" t="str">
        <f>IF(AE15&lt;&gt;" ",VLOOKUP(AE15,$F$40:$H$70,2)," ")</f>
        <v>Tomás Villanueva</v>
      </c>
      <c r="AF18" s="1050"/>
      <c r="AG18" s="1050"/>
      <c r="AH18" s="1050" t="str">
        <f>IF(AH15&lt;&gt;" ",VLOOKUP(AH15,$F$40:$H$70,2)," ")</f>
        <v>N.S. Begoña</v>
      </c>
      <c r="AI18" s="1050"/>
      <c r="AJ18" s="1050"/>
      <c r="AK18" s="1050" t="str">
        <f>IF(AK15&lt;&gt;" ",VLOOKUP(AK15,$F$40:$H$70,2)," ")</f>
        <v>El Pilar</v>
      </c>
      <c r="AL18" s="1050"/>
      <c r="AM18" s="1050"/>
      <c r="AN18" s="1050" t="str">
        <f>IF(AN15&lt;&gt;" ",VLOOKUP(AN15,$F$40:$H$70,2)," ")</f>
        <v>Fausto</v>
      </c>
      <c r="AO18" s="1050"/>
      <c r="AP18" s="1066"/>
    </row>
    <row r="19" spans="2:42" ht="9" customHeight="1">
      <c r="B19" s="350"/>
      <c r="C19" s="349"/>
      <c r="D19" s="349"/>
      <c r="E19" s="349"/>
      <c r="F19" s="349"/>
      <c r="G19" s="349"/>
      <c r="H19" s="349"/>
      <c r="I19" s="349"/>
      <c r="J19" s="349"/>
      <c r="K19" s="349"/>
      <c r="L19" s="349"/>
      <c r="M19" s="349"/>
      <c r="N19" s="349"/>
      <c r="O19" s="349"/>
      <c r="P19" s="349"/>
      <c r="Q19" s="349"/>
      <c r="R19" s="349"/>
      <c r="S19" s="349"/>
      <c r="T19" s="349"/>
      <c r="U19" s="352"/>
      <c r="V19" s="1051">
        <f>año!K26</f>
        <v>14</v>
      </c>
      <c r="W19" s="1052"/>
      <c r="X19" s="1052"/>
      <c r="Y19" s="1052">
        <f>año!L26</f>
        <v>15</v>
      </c>
      <c r="Z19" s="1052"/>
      <c r="AA19" s="1052"/>
      <c r="AB19" s="1052">
        <f>año!M26</f>
        <v>16</v>
      </c>
      <c r="AC19" s="1052"/>
      <c r="AD19" s="1052"/>
      <c r="AE19" s="1052">
        <f>año!N26</f>
        <v>17</v>
      </c>
      <c r="AF19" s="1052"/>
      <c r="AG19" s="1052"/>
      <c r="AH19" s="1052">
        <f>año!O26</f>
        <v>18</v>
      </c>
      <c r="AI19" s="1052"/>
      <c r="AJ19" s="1052"/>
      <c r="AK19" s="1052">
        <f>año!P26</f>
        <v>19</v>
      </c>
      <c r="AL19" s="1052"/>
      <c r="AM19" s="1052"/>
      <c r="AN19" s="1064">
        <f>año!Q26</f>
        <v>20</v>
      </c>
      <c r="AO19" s="1064"/>
      <c r="AP19" s="1065"/>
    </row>
    <row r="20" spans="2:42" ht="9" customHeight="1">
      <c r="B20" s="350"/>
      <c r="C20" s="349"/>
      <c r="D20" s="349"/>
      <c r="E20" s="349"/>
      <c r="F20" s="349"/>
      <c r="G20" s="349"/>
      <c r="H20" s="349"/>
      <c r="I20" s="349"/>
      <c r="J20" s="349"/>
      <c r="K20" s="349"/>
      <c r="L20" s="349"/>
      <c r="M20" s="349"/>
      <c r="N20" s="349"/>
      <c r="O20" s="349"/>
      <c r="P20" s="349"/>
      <c r="Q20" s="349"/>
      <c r="R20" s="349"/>
      <c r="S20" s="349"/>
      <c r="T20" s="349"/>
      <c r="U20" s="352"/>
      <c r="V20" s="1051"/>
      <c r="W20" s="1052"/>
      <c r="X20" s="1052"/>
      <c r="Y20" s="1052"/>
      <c r="Z20" s="1052"/>
      <c r="AA20" s="1052"/>
      <c r="AB20" s="1052"/>
      <c r="AC20" s="1052"/>
      <c r="AD20" s="1052"/>
      <c r="AE20" s="1052"/>
      <c r="AF20" s="1052"/>
      <c r="AG20" s="1052"/>
      <c r="AH20" s="1052"/>
      <c r="AI20" s="1052"/>
      <c r="AJ20" s="1052"/>
      <c r="AK20" s="1052"/>
      <c r="AL20" s="1052"/>
      <c r="AM20" s="1052"/>
      <c r="AN20" s="1064"/>
      <c r="AO20" s="1064"/>
      <c r="AP20" s="1065"/>
    </row>
    <row r="21" spans="2:42" ht="9" customHeight="1">
      <c r="B21" s="350"/>
      <c r="C21" s="349"/>
      <c r="D21" s="349"/>
      <c r="E21" s="349"/>
      <c r="F21" s="349"/>
      <c r="G21" s="349"/>
      <c r="H21" s="349"/>
      <c r="I21" s="349"/>
      <c r="J21" s="349"/>
      <c r="K21" s="349"/>
      <c r="L21" s="349"/>
      <c r="M21" s="349"/>
      <c r="N21" s="349"/>
      <c r="O21" s="349"/>
      <c r="P21" s="349"/>
      <c r="Q21" s="349"/>
      <c r="R21" s="349"/>
      <c r="S21" s="349"/>
      <c r="T21" s="349"/>
      <c r="U21" s="352"/>
      <c r="V21" s="1051"/>
      <c r="W21" s="1052"/>
      <c r="X21" s="1052"/>
      <c r="Y21" s="1052"/>
      <c r="Z21" s="1052"/>
      <c r="AA21" s="1052"/>
      <c r="AB21" s="1052"/>
      <c r="AC21" s="1052"/>
      <c r="AD21" s="1052"/>
      <c r="AE21" s="1052"/>
      <c r="AF21" s="1052"/>
      <c r="AG21" s="1052"/>
      <c r="AH21" s="1052"/>
      <c r="AI21" s="1052"/>
      <c r="AJ21" s="1052"/>
      <c r="AK21" s="1052"/>
      <c r="AL21" s="1052"/>
      <c r="AM21" s="1052"/>
      <c r="AN21" s="1064"/>
      <c r="AO21" s="1064"/>
      <c r="AP21" s="1065"/>
    </row>
    <row r="22" spans="2:42" ht="9" customHeight="1">
      <c r="B22" s="350"/>
      <c r="C22" s="349"/>
      <c r="D22" s="349"/>
      <c r="E22" s="349"/>
      <c r="F22" s="349"/>
      <c r="G22" s="349"/>
      <c r="H22" s="349"/>
      <c r="I22" s="349"/>
      <c r="J22" s="349"/>
      <c r="K22" s="349"/>
      <c r="L22" s="349"/>
      <c r="M22" s="349"/>
      <c r="N22" s="349"/>
      <c r="O22" s="349"/>
      <c r="P22" s="349"/>
      <c r="Q22" s="349"/>
      <c r="R22" s="349"/>
      <c r="S22" s="349"/>
      <c r="T22" s="349"/>
      <c r="U22" s="352"/>
      <c r="V22" s="1049" t="str">
        <f>IF(V19&lt;&gt;" ",VLOOKUP(V19,$F$40:$H$70,2)," ")</f>
        <v>Calixto</v>
      </c>
      <c r="W22" s="1050"/>
      <c r="X22" s="1050"/>
      <c r="Y22" s="1050" t="str">
        <f>IF(Y19&lt;&gt;" ",VLOOKUP(Y19,$F$40:$H$70,2)," ")</f>
        <v>Teresa Jesús</v>
      </c>
      <c r="Z22" s="1050"/>
      <c r="AA22" s="1050"/>
      <c r="AB22" s="1050" t="str">
        <f>IF(AB19&lt;&gt;" ",VLOOKUP(AB19,$F$40:$H$70,2)," ")</f>
        <v>Eduvigis</v>
      </c>
      <c r="AC22" s="1050"/>
      <c r="AD22" s="1050"/>
      <c r="AE22" s="1050" t="str">
        <f>IF(AE19&lt;&gt;" ",VLOOKUP(AE19,$F$40:$H$70,2)," ")</f>
        <v>Ignacio Ant.</v>
      </c>
      <c r="AF22" s="1050"/>
      <c r="AG22" s="1050"/>
      <c r="AH22" s="1050" t="str">
        <f>IF(AH19&lt;&gt;" ",VLOOKUP(AH19,$F$40:$H$70,2)," ")</f>
        <v>Lucas</v>
      </c>
      <c r="AI22" s="1050"/>
      <c r="AJ22" s="1050"/>
      <c r="AK22" s="1050" t="str">
        <f>IF(AK19&lt;&gt;" ",VLOOKUP(AK19,$F$40:$H$70,2)," ")</f>
        <v>Pedro Alcant.</v>
      </c>
      <c r="AL22" s="1050"/>
      <c r="AM22" s="1050"/>
      <c r="AN22" s="1050" t="str">
        <f>IF(AN19&lt;&gt;" ",VLOOKUP(AN19,$F$40:$H$70,2)," ")</f>
        <v>Irene</v>
      </c>
      <c r="AO22" s="1050"/>
      <c r="AP22" s="1066"/>
    </row>
    <row r="23" spans="2:42" ht="9" customHeight="1">
      <c r="B23" s="350"/>
      <c r="C23" s="349"/>
      <c r="D23" s="349"/>
      <c r="E23" s="349"/>
      <c r="F23" s="349"/>
      <c r="G23" s="349"/>
      <c r="H23" s="349"/>
      <c r="I23" s="349"/>
      <c r="J23" s="349"/>
      <c r="K23" s="349"/>
      <c r="L23" s="349"/>
      <c r="M23" s="349"/>
      <c r="N23" s="349"/>
      <c r="O23" s="349"/>
      <c r="P23" s="349"/>
      <c r="Q23" s="349"/>
      <c r="R23" s="349"/>
      <c r="S23" s="349"/>
      <c r="T23" s="349"/>
      <c r="U23" s="352"/>
      <c r="V23" s="1052">
        <f>año!K27</f>
        <v>21</v>
      </c>
      <c r="W23" s="1052"/>
      <c r="X23" s="1052"/>
      <c r="Y23" s="1052">
        <f>año!L27</f>
        <v>22</v>
      </c>
      <c r="Z23" s="1052"/>
      <c r="AA23" s="1052"/>
      <c r="AB23" s="1052">
        <f>año!M27</f>
        <v>23</v>
      </c>
      <c r="AC23" s="1052"/>
      <c r="AD23" s="1052"/>
      <c r="AE23" s="1052">
        <f>año!N27</f>
        <v>24</v>
      </c>
      <c r="AF23" s="1052"/>
      <c r="AG23" s="1052"/>
      <c r="AH23" s="1052">
        <f>año!O27</f>
        <v>25</v>
      </c>
      <c r="AI23" s="1052"/>
      <c r="AJ23" s="1052"/>
      <c r="AK23" s="1052">
        <f>año!P27</f>
        <v>26</v>
      </c>
      <c r="AL23" s="1052"/>
      <c r="AM23" s="1052"/>
      <c r="AN23" s="1064">
        <f>año!Q27</f>
        <v>27</v>
      </c>
      <c r="AO23" s="1064"/>
      <c r="AP23" s="1065"/>
    </row>
    <row r="24" spans="2:42" ht="9" customHeight="1">
      <c r="B24" s="350"/>
      <c r="C24" s="349"/>
      <c r="D24" s="349"/>
      <c r="E24" s="349"/>
      <c r="F24" s="349"/>
      <c r="G24" s="349"/>
      <c r="H24" s="349"/>
      <c r="I24" s="349"/>
      <c r="J24" s="349"/>
      <c r="K24" s="349"/>
      <c r="L24" s="349"/>
      <c r="M24" s="349"/>
      <c r="N24" s="349"/>
      <c r="O24" s="349"/>
      <c r="P24" s="349"/>
      <c r="Q24" s="349"/>
      <c r="R24" s="349"/>
      <c r="S24" s="349"/>
      <c r="T24" s="349"/>
      <c r="U24" s="352"/>
      <c r="V24" s="1052"/>
      <c r="W24" s="1052"/>
      <c r="X24" s="1052"/>
      <c r="Y24" s="1052"/>
      <c r="Z24" s="1052"/>
      <c r="AA24" s="1052"/>
      <c r="AB24" s="1052"/>
      <c r="AC24" s="1052"/>
      <c r="AD24" s="1052"/>
      <c r="AE24" s="1052"/>
      <c r="AF24" s="1052"/>
      <c r="AG24" s="1052"/>
      <c r="AH24" s="1052"/>
      <c r="AI24" s="1052"/>
      <c r="AJ24" s="1052"/>
      <c r="AK24" s="1052"/>
      <c r="AL24" s="1052"/>
      <c r="AM24" s="1052"/>
      <c r="AN24" s="1064"/>
      <c r="AO24" s="1064"/>
      <c r="AP24" s="1065"/>
    </row>
    <row r="25" spans="2:42" ht="9" customHeight="1">
      <c r="B25" s="350"/>
      <c r="C25" s="349"/>
      <c r="D25" s="349"/>
      <c r="E25" s="349"/>
      <c r="F25" s="349"/>
      <c r="G25" s="349"/>
      <c r="H25" s="349"/>
      <c r="I25" s="349"/>
      <c r="J25" s="349"/>
      <c r="K25" s="349"/>
      <c r="L25" s="349"/>
      <c r="M25" s="349"/>
      <c r="N25" s="349"/>
      <c r="O25" s="349"/>
      <c r="P25" s="349"/>
      <c r="Q25" s="349"/>
      <c r="R25" s="349"/>
      <c r="S25" s="349"/>
      <c r="T25" s="349"/>
      <c r="U25" s="352"/>
      <c r="V25" s="1052"/>
      <c r="W25" s="1052"/>
      <c r="X25" s="1052"/>
      <c r="Y25" s="1052"/>
      <c r="Z25" s="1052"/>
      <c r="AA25" s="1052"/>
      <c r="AB25" s="1052"/>
      <c r="AC25" s="1052"/>
      <c r="AD25" s="1052"/>
      <c r="AE25" s="1052"/>
      <c r="AF25" s="1052"/>
      <c r="AG25" s="1052"/>
      <c r="AH25" s="1052"/>
      <c r="AI25" s="1052"/>
      <c r="AJ25" s="1052"/>
      <c r="AK25" s="1052"/>
      <c r="AL25" s="1052"/>
      <c r="AM25" s="1052"/>
      <c r="AN25" s="1064"/>
      <c r="AO25" s="1064"/>
      <c r="AP25" s="1065"/>
    </row>
    <row r="26" spans="2:42" ht="9" customHeight="1">
      <c r="B26" s="350"/>
      <c r="C26" s="349"/>
      <c r="D26" s="349"/>
      <c r="E26" s="349"/>
      <c r="F26" s="349"/>
      <c r="G26" s="349"/>
      <c r="H26" s="349"/>
      <c r="I26" s="349"/>
      <c r="J26" s="349"/>
      <c r="K26" s="349"/>
      <c r="L26" s="349"/>
      <c r="M26" s="349"/>
      <c r="N26" s="349"/>
      <c r="O26" s="349"/>
      <c r="P26" s="349"/>
      <c r="Q26" s="349"/>
      <c r="R26" s="349"/>
      <c r="S26" s="349"/>
      <c r="T26" s="349"/>
      <c r="U26" s="352"/>
      <c r="V26" s="1049" t="str">
        <f>IF(V23&lt;&gt;" ",VLOOKUP(V23,$F$39:$H$70,2)," ")</f>
        <v>Úrsula</v>
      </c>
      <c r="W26" s="1050"/>
      <c r="X26" s="1050"/>
      <c r="Y26" s="1050" t="str">
        <f>IF(Y23&lt;&gt;" ",VLOOKUP(Y23,$F$39:$H$70,2)," ")</f>
        <v>María Salomé</v>
      </c>
      <c r="Z26" s="1050"/>
      <c r="AA26" s="1050"/>
      <c r="AB26" s="1050" t="str">
        <f>IF(AB23&lt;&gt;" ",VLOOKUP(AB23,$F$39:$H$70,2)," ")</f>
        <v>Juan Capistra.</v>
      </c>
      <c r="AC26" s="1050"/>
      <c r="AD26" s="1050"/>
      <c r="AE26" s="1050" t="str">
        <f>IF(AE23&lt;&gt;" ",VLOOKUP(AE23,$F$39:$H$70,2)," ")</f>
        <v>Antonio M.Claret</v>
      </c>
      <c r="AF26" s="1050"/>
      <c r="AG26" s="1050"/>
      <c r="AH26" s="1050" t="str">
        <f>IF(AH23&lt;&gt;" ",VLOOKUP(AH23,$F$39:$H$70,2)," ")</f>
        <v>Crispín</v>
      </c>
      <c r="AI26" s="1050"/>
      <c r="AJ26" s="1050"/>
      <c r="AK26" s="1050" t="str">
        <f>IF(AK23&lt;&gt;" ",VLOOKUP(AK23,$F$39:$H$70,2)," ")</f>
        <v>Gilberto</v>
      </c>
      <c r="AL26" s="1050"/>
      <c r="AM26" s="1050"/>
      <c r="AN26" s="1050" t="str">
        <f>IF(AN23&lt;&gt;" ",VLOOKUP(AN23,$F$39:$H$70,2)," ")</f>
        <v>Sabina</v>
      </c>
      <c r="AO26" s="1050"/>
      <c r="AP26" s="1050"/>
    </row>
    <row r="27" spans="2:42" ht="9" customHeight="1">
      <c r="B27" s="350"/>
      <c r="C27" s="349"/>
      <c r="D27" s="349"/>
      <c r="E27" s="349"/>
      <c r="F27" s="349"/>
      <c r="G27" s="349"/>
      <c r="H27" s="349"/>
      <c r="I27" s="349"/>
      <c r="J27" s="349"/>
      <c r="K27" s="349"/>
      <c r="L27" s="349"/>
      <c r="M27" s="349"/>
      <c r="N27" s="349"/>
      <c r="O27" s="349"/>
      <c r="P27" s="349"/>
      <c r="Q27" s="349"/>
      <c r="R27" s="349"/>
      <c r="S27" s="349"/>
      <c r="T27" s="349"/>
      <c r="U27" s="352"/>
      <c r="V27" s="1051">
        <f>año!K28</f>
        <v>28</v>
      </c>
      <c r="W27" s="1052"/>
      <c r="X27" s="1052"/>
      <c r="Y27" s="1052">
        <f>año!L28</f>
        <v>29</v>
      </c>
      <c r="Z27" s="1052"/>
      <c r="AA27" s="1052"/>
      <c r="AB27" s="1052">
        <f>año!M28</f>
        <v>30</v>
      </c>
      <c r="AC27" s="1052"/>
      <c r="AD27" s="1052"/>
      <c r="AE27" s="1052">
        <f>año!N28</f>
        <v>31</v>
      </c>
      <c r="AF27" s="1052"/>
      <c r="AG27" s="1052"/>
      <c r="AH27" s="1052" t="str">
        <f>año!O28</f>
        <v xml:space="preserve"> </v>
      </c>
      <c r="AI27" s="1052"/>
      <c r="AJ27" s="1052"/>
      <c r="AK27" s="1052" t="str">
        <f>año!P28</f>
        <v xml:space="preserve"> </v>
      </c>
      <c r="AL27" s="1052"/>
      <c r="AM27" s="1052"/>
      <c r="AN27" s="1064" t="str">
        <f>año!Q28</f>
        <v xml:space="preserve"> </v>
      </c>
      <c r="AO27" s="1064"/>
      <c r="AP27" s="1065"/>
    </row>
    <row r="28" spans="2:42" ht="9" customHeight="1">
      <c r="B28" s="350"/>
      <c r="C28" s="349"/>
      <c r="D28" s="349"/>
      <c r="E28" s="349"/>
      <c r="F28" s="349"/>
      <c r="G28" s="349"/>
      <c r="H28" s="349"/>
      <c r="I28" s="349"/>
      <c r="J28" s="349"/>
      <c r="K28" s="349"/>
      <c r="L28" s="349"/>
      <c r="M28" s="349"/>
      <c r="N28" s="349"/>
      <c r="O28" s="349"/>
      <c r="P28" s="349"/>
      <c r="Q28" s="349"/>
      <c r="R28" s="349"/>
      <c r="S28" s="349"/>
      <c r="T28" s="349"/>
      <c r="U28" s="352"/>
      <c r="V28" s="1051"/>
      <c r="W28" s="1052"/>
      <c r="X28" s="1052"/>
      <c r="Y28" s="1052"/>
      <c r="Z28" s="1052"/>
      <c r="AA28" s="1052"/>
      <c r="AB28" s="1052"/>
      <c r="AC28" s="1052"/>
      <c r="AD28" s="1052"/>
      <c r="AE28" s="1052"/>
      <c r="AF28" s="1052"/>
      <c r="AG28" s="1052"/>
      <c r="AH28" s="1052"/>
      <c r="AI28" s="1052"/>
      <c r="AJ28" s="1052"/>
      <c r="AK28" s="1052"/>
      <c r="AL28" s="1052"/>
      <c r="AM28" s="1052"/>
      <c r="AN28" s="1064"/>
      <c r="AO28" s="1064"/>
      <c r="AP28" s="1065"/>
    </row>
    <row r="29" spans="2:42" ht="9" customHeight="1">
      <c r="B29" s="350"/>
      <c r="C29" s="349"/>
      <c r="D29" s="349"/>
      <c r="E29" s="349"/>
      <c r="F29" s="349"/>
      <c r="G29" s="349"/>
      <c r="H29" s="349"/>
      <c r="I29" s="349"/>
      <c r="J29" s="349"/>
      <c r="K29" s="349"/>
      <c r="L29" s="349"/>
      <c r="M29" s="349"/>
      <c r="N29" s="349"/>
      <c r="O29" s="349"/>
      <c r="P29" s="349"/>
      <c r="Q29" s="349"/>
      <c r="R29" s="349"/>
      <c r="S29" s="349"/>
      <c r="T29" s="349"/>
      <c r="U29" s="352"/>
      <c r="V29" s="1051"/>
      <c r="W29" s="1052"/>
      <c r="X29" s="1052"/>
      <c r="Y29" s="1052"/>
      <c r="Z29" s="1052"/>
      <c r="AA29" s="1052"/>
      <c r="AB29" s="1052"/>
      <c r="AC29" s="1052"/>
      <c r="AD29" s="1052"/>
      <c r="AE29" s="1052"/>
      <c r="AF29" s="1052"/>
      <c r="AG29" s="1052"/>
      <c r="AH29" s="1052"/>
      <c r="AI29" s="1052"/>
      <c r="AJ29" s="1052"/>
      <c r="AK29" s="1052"/>
      <c r="AL29" s="1052"/>
      <c r="AM29" s="1052"/>
      <c r="AN29" s="1064"/>
      <c r="AO29" s="1064"/>
      <c r="AP29" s="1065"/>
    </row>
    <row r="30" spans="2:42" ht="9" customHeight="1">
      <c r="B30" s="1100" t="s">
        <v>1001</v>
      </c>
      <c r="C30" s="1101"/>
      <c r="D30" s="1101"/>
      <c r="E30" s="1101"/>
      <c r="F30" s="1101"/>
      <c r="G30" s="1101"/>
      <c r="H30" s="1101"/>
      <c r="I30" s="1101"/>
      <c r="J30" s="1101"/>
      <c r="K30" s="1101"/>
      <c r="L30" s="1101"/>
      <c r="M30" s="1101"/>
      <c r="N30" s="1101"/>
      <c r="O30" s="1101"/>
      <c r="P30" s="1101"/>
      <c r="Q30" s="1101"/>
      <c r="R30" s="1101"/>
      <c r="S30" s="1101"/>
      <c r="T30" s="1101"/>
      <c r="U30" s="1102"/>
      <c r="V30" s="1050" t="str">
        <f>IF(V27&lt;&gt;" ",VLOOKUP(V27,$F$39:$H$70,2)," ")</f>
        <v>Simón y Judas</v>
      </c>
      <c r="W30" s="1050"/>
      <c r="X30" s="1050"/>
      <c r="Y30" s="1050" t="str">
        <f>IF(Y27&lt;&gt;" ",VLOOKUP(Y27,$F$39:$H$70,2)," ")</f>
        <v>Narciso</v>
      </c>
      <c r="Z30" s="1050"/>
      <c r="AA30" s="1050"/>
      <c r="AB30" s="1050" t="str">
        <f>IF(AB27&lt;&gt;" ",VLOOKUP(AB27,$F$40:$H$70,2)," ")</f>
        <v>Claudio</v>
      </c>
      <c r="AC30" s="1050"/>
      <c r="AD30" s="1050"/>
      <c r="AE30" s="1050" t="str">
        <f>IF(AE27&lt;&gt;" ",VLOOKUP(AE27,$F$40:$H$70,2)," ")</f>
        <v>Quintín</v>
      </c>
      <c r="AF30" s="1050"/>
      <c r="AG30" s="1050"/>
      <c r="AH30" s="1050" t="str">
        <f>IF(AH27&lt;&gt;" ",VLOOKUP(AH27,$F$40:$H$70,2)," ")</f>
        <v xml:space="preserve"> </v>
      </c>
      <c r="AI30" s="1050"/>
      <c r="AJ30" s="1050"/>
      <c r="AK30" s="1050" t="str">
        <f>IF(AK27&lt;&gt;" ",VLOOKUP(AK27,$F$40:$H$70,2)," ")</f>
        <v xml:space="preserve"> </v>
      </c>
      <c r="AL30" s="1050"/>
      <c r="AM30" s="1050"/>
      <c r="AN30" s="1050" t="str">
        <f>IF(AN27&lt;&gt;" ",VLOOKUP(AN27,$F$40:$H$70,2)," ")</f>
        <v xml:space="preserve"> </v>
      </c>
      <c r="AO30" s="1050"/>
      <c r="AP30" s="1066"/>
    </row>
    <row r="31" spans="2:42" ht="10.5" customHeight="1">
      <c r="B31" s="1100"/>
      <c r="C31" s="1101"/>
      <c r="D31" s="1101"/>
      <c r="E31" s="1101"/>
      <c r="F31" s="1101"/>
      <c r="G31" s="1101"/>
      <c r="H31" s="1101"/>
      <c r="I31" s="1101"/>
      <c r="J31" s="1101"/>
      <c r="K31" s="1101"/>
      <c r="L31" s="1101"/>
      <c r="M31" s="1101"/>
      <c r="N31" s="1101"/>
      <c r="O31" s="1101"/>
      <c r="P31" s="1101"/>
      <c r="Q31" s="1101"/>
      <c r="R31" s="1101"/>
      <c r="S31" s="1101"/>
      <c r="T31" s="1101"/>
      <c r="U31" s="1102"/>
      <c r="V31" s="1051" t="str">
        <f>año!K29</f>
        <v xml:space="preserve"> </v>
      </c>
      <c r="W31" s="1052"/>
      <c r="X31" s="1052"/>
      <c r="Y31" s="1052" t="str">
        <f>año!L29</f>
        <v xml:space="preserve"> </v>
      </c>
      <c r="Z31" s="1052"/>
      <c r="AA31" s="1052"/>
      <c r="AB31" s="1052" t="str">
        <f>año!M29</f>
        <v xml:space="preserve"> </v>
      </c>
      <c r="AC31" s="1052"/>
      <c r="AD31" s="1052"/>
      <c r="AE31" s="189"/>
      <c r="AF31" s="194"/>
      <c r="AG31" s="192"/>
      <c r="AH31" s="194"/>
      <c r="AI31" s="194"/>
      <c r="AJ31" s="192"/>
      <c r="AK31" s="194"/>
      <c r="AL31" s="194"/>
      <c r="AM31" s="192"/>
      <c r="AN31" s="193"/>
      <c r="AO31" s="194"/>
      <c r="AP31" s="192"/>
    </row>
    <row r="32" spans="2:42" ht="10.5" customHeight="1">
      <c r="B32" s="1100"/>
      <c r="C32" s="782"/>
      <c r="D32" s="782"/>
      <c r="E32" s="782"/>
      <c r="F32" s="782"/>
      <c r="G32" s="782"/>
      <c r="H32" s="782"/>
      <c r="I32" s="782"/>
      <c r="J32" s="782"/>
      <c r="K32" s="782"/>
      <c r="L32" s="782"/>
      <c r="M32" s="782"/>
      <c r="N32" s="782"/>
      <c r="O32" s="782"/>
      <c r="P32" s="782"/>
      <c r="Q32" s="782"/>
      <c r="R32" s="782"/>
      <c r="S32" s="782"/>
      <c r="T32" s="782"/>
      <c r="U32" s="1102"/>
      <c r="V32" s="1051"/>
      <c r="W32" s="1052"/>
      <c r="X32" s="1052"/>
      <c r="Y32" s="1052"/>
      <c r="Z32" s="1052"/>
      <c r="AA32" s="1052"/>
      <c r="AB32" s="1052"/>
      <c r="AC32" s="1052"/>
      <c r="AD32" s="1052"/>
      <c r="AE32" s="190"/>
      <c r="AF32" s="194"/>
      <c r="AG32" s="192" t="s">
        <v>247</v>
      </c>
      <c r="AH32" s="194"/>
      <c r="AI32" s="194"/>
      <c r="AJ32" s="192" t="s">
        <v>247</v>
      </c>
      <c r="AK32" s="194"/>
      <c r="AL32" s="194"/>
      <c r="AM32" s="192" t="s">
        <v>247</v>
      </c>
      <c r="AN32" s="194"/>
      <c r="AO32" s="194"/>
      <c r="AP32" s="192" t="s">
        <v>247</v>
      </c>
    </row>
    <row r="33" spans="1:42" ht="10.5" customHeight="1">
      <c r="B33" s="1103"/>
      <c r="C33" s="1104"/>
      <c r="D33" s="1104"/>
      <c r="E33" s="1104"/>
      <c r="F33" s="1104"/>
      <c r="G33" s="1104"/>
      <c r="H33" s="1104"/>
      <c r="I33" s="1104"/>
      <c r="J33" s="1104"/>
      <c r="K33" s="1104"/>
      <c r="L33" s="1104"/>
      <c r="M33" s="1104"/>
      <c r="N33" s="1104"/>
      <c r="O33" s="1104"/>
      <c r="P33" s="1104"/>
      <c r="Q33" s="1104"/>
      <c r="R33" s="1104"/>
      <c r="S33" s="1104"/>
      <c r="T33" s="1104"/>
      <c r="U33" s="1105"/>
      <c r="V33" s="1051"/>
      <c r="W33" s="1052"/>
      <c r="X33" s="1052"/>
      <c r="Y33" s="1052"/>
      <c r="Z33" s="1052"/>
      <c r="AA33" s="1052"/>
      <c r="AB33" s="1052"/>
      <c r="AC33" s="1052"/>
      <c r="AD33" s="1052"/>
      <c r="AE33" s="191"/>
      <c r="AF33" s="1067">
        <f>luna!$O$72</f>
        <v>18</v>
      </c>
      <c r="AG33" s="1068"/>
      <c r="AH33" s="195"/>
      <c r="AI33" s="1073">
        <f>luna!$R$72</f>
        <v>25</v>
      </c>
      <c r="AJ33" s="1068"/>
      <c r="AK33" s="195"/>
      <c r="AL33" s="1073">
        <f>luna!$Q$72</f>
        <v>4</v>
      </c>
      <c r="AM33" s="1068"/>
      <c r="AN33" s="195"/>
      <c r="AO33" s="1067">
        <f>luna!$P$72</f>
        <v>11</v>
      </c>
      <c r="AP33" s="1068"/>
    </row>
    <row r="34" spans="1:42" ht="9" customHeight="1">
      <c r="B34" s="179"/>
      <c r="C34" s="180"/>
      <c r="D34" s="180"/>
      <c r="E34" s="180"/>
      <c r="F34" s="180"/>
      <c r="G34" s="180"/>
      <c r="H34" s="180"/>
      <c r="I34" s="180"/>
      <c r="J34" s="180"/>
      <c r="K34" s="180"/>
      <c r="L34" s="180"/>
      <c r="M34" s="180"/>
      <c r="N34" s="180"/>
      <c r="O34" s="180"/>
      <c r="P34" s="180"/>
      <c r="Q34" s="180"/>
      <c r="R34" s="180"/>
      <c r="S34" s="180"/>
      <c r="T34" s="180"/>
      <c r="U34" s="181"/>
      <c r="V34" s="1049" t="str">
        <f>IF(V31&lt;&gt;" ",VLOOKUP(V31,$F$40:$H$70,2)," ")</f>
        <v xml:space="preserve"> </v>
      </c>
      <c r="W34" s="1050"/>
      <c r="X34" s="1050"/>
      <c r="Y34" s="1050" t="str">
        <f>IF(Y31&lt;&gt;" ",VLOOKUP(Y31,$F$40:$H$70,2)," ")</f>
        <v xml:space="preserve"> </v>
      </c>
      <c r="Z34" s="1050"/>
      <c r="AA34" s="1050"/>
      <c r="AB34" s="182"/>
      <c r="AC34" s="182"/>
      <c r="AD34" s="182"/>
      <c r="AE34" s="1078" t="s">
        <v>597</v>
      </c>
      <c r="AF34" s="1079"/>
      <c r="AG34" s="1080"/>
      <c r="AH34" s="1081" t="s">
        <v>598</v>
      </c>
      <c r="AI34" s="1081"/>
      <c r="AJ34" s="1081"/>
      <c r="AK34" s="1081" t="s">
        <v>599</v>
      </c>
      <c r="AL34" s="1081"/>
      <c r="AM34" s="1081"/>
      <c r="AN34" s="1081" t="s">
        <v>600</v>
      </c>
      <c r="AO34" s="1081"/>
      <c r="AP34" s="1081"/>
    </row>
    <row r="35" spans="1:42" ht="13.8" thickBot="1">
      <c r="B35" s="252">
        <v>9</v>
      </c>
      <c r="C35" s="174" t="s">
        <v>398</v>
      </c>
      <c r="D35" s="163"/>
      <c r="E35" s="163"/>
      <c r="F35" s="407">
        <v>9</v>
      </c>
      <c r="G35" s="406" t="s">
        <v>968</v>
      </c>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4"/>
    </row>
    <row r="36" spans="1:42" ht="16.2" thickBot="1">
      <c r="B36" s="172">
        <v>12</v>
      </c>
      <c r="C36" s="173" t="s">
        <v>399</v>
      </c>
      <c r="D36" s="165"/>
      <c r="E36" s="165"/>
      <c r="F36" s="407">
        <v>11</v>
      </c>
      <c r="G36" s="408" t="s">
        <v>76</v>
      </c>
      <c r="H36" s="165"/>
      <c r="I36" s="165"/>
      <c r="J36" s="716">
        <v>8</v>
      </c>
      <c r="K36" s="165"/>
      <c r="L36" s="165"/>
      <c r="M36" s="165"/>
      <c r="N36" s="165"/>
      <c r="O36" s="165"/>
      <c r="P36" s="165"/>
      <c r="Q36" s="165"/>
      <c r="R36" s="165"/>
      <c r="S36" s="165"/>
      <c r="T36" s="165"/>
      <c r="U36" s="165"/>
      <c r="V36" s="165"/>
      <c r="W36" s="165"/>
      <c r="X36" s="165"/>
      <c r="Y36" s="165"/>
      <c r="Z36" s="165"/>
      <c r="AA36" s="1089" t="s">
        <v>412</v>
      </c>
      <c r="AB36" s="1090"/>
      <c r="AC36" s="1090"/>
      <c r="AD36" s="1090"/>
      <c r="AE36" s="1090"/>
      <c r="AF36" s="1090"/>
      <c r="AG36" s="1091"/>
      <c r="AH36" s="165"/>
      <c r="AI36" s="1092" t="s">
        <v>411</v>
      </c>
      <c r="AJ36" s="1093"/>
      <c r="AK36" s="1093"/>
      <c r="AL36" s="1093"/>
      <c r="AM36" s="1093"/>
      <c r="AN36" s="1093"/>
      <c r="AO36" s="1094"/>
      <c r="AP36" s="166"/>
    </row>
    <row r="37" spans="1:42">
      <c r="B37" s="167"/>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9"/>
    </row>
    <row r="38" spans="1:42" hidden="1">
      <c r="N38">
        <f>MARZO!M38</f>
        <v>8</v>
      </c>
      <c r="O38">
        <f>MARZO!N38</f>
        <v>4</v>
      </c>
      <c r="P38">
        <f>MARZO!O38</f>
        <v>0</v>
      </c>
      <c r="Q38" t="str">
        <f>MARZO!P38</f>
        <v>Dijous Sant</v>
      </c>
      <c r="R38">
        <f>MARZO!Q38</f>
        <v>0</v>
      </c>
      <c r="U38" s="1106">
        <f>calendario!$H$59</f>
        <v>45431</v>
      </c>
      <c r="V38" s="1106"/>
      <c r="W38" s="1106"/>
      <c r="X38" s="1106"/>
      <c r="AD38">
        <f>FEBRERO!AI38</f>
        <v>31</v>
      </c>
      <c r="AE38">
        <f>FEBRERO!AJ38</f>
        <v>29</v>
      </c>
      <c r="AF38">
        <f>FEBRERO!AK38</f>
        <v>0</v>
      </c>
      <c r="AG38" t="str">
        <f>FEBRERO!AL38</f>
        <v>Pasqua</v>
      </c>
      <c r="AH38">
        <f>FEBRERO!AM38</f>
        <v>0</v>
      </c>
      <c r="AI38">
        <f>FEBRERO!AN38</f>
        <v>0</v>
      </c>
      <c r="AJ38">
        <f>FEBRERO!AO38</f>
        <v>14</v>
      </c>
      <c r="AM38">
        <f>FEBRERO!$AO$38</f>
        <v>14</v>
      </c>
    </row>
    <row r="39" spans="1:42" hidden="1">
      <c r="F39" s="175">
        <v>0</v>
      </c>
      <c r="N39" t="str">
        <f>MARZO!M39</f>
        <v>NO</v>
      </c>
      <c r="O39">
        <f>MARZO!N39</f>
        <v>0</v>
      </c>
      <c r="P39">
        <f>MARZO!O39</f>
        <v>0</v>
      </c>
      <c r="Q39">
        <f>MARZO!P39</f>
        <v>0</v>
      </c>
      <c r="R39">
        <f>MARZO!Q39</f>
        <v>0</v>
      </c>
      <c r="U39" s="32">
        <f>DAY(U38)</f>
        <v>19</v>
      </c>
      <c r="V39" s="32">
        <f>MONTH(U38)</f>
        <v>5</v>
      </c>
      <c r="W39" s="31"/>
      <c r="X39" s="31"/>
      <c r="AD39" t="str">
        <f>FEBRERO!AI39</f>
        <v>NO</v>
      </c>
      <c r="AE39" t="str">
        <f>FEBRERO!AJ39</f>
        <v/>
      </c>
      <c r="AF39">
        <f>FEBRERO!AK39</f>
        <v>0</v>
      </c>
      <c r="AG39">
        <f>FEBRERO!AL39</f>
        <v>45382</v>
      </c>
      <c r="AH39">
        <f>FEBRERO!AM39</f>
        <v>0</v>
      </c>
      <c r="AI39">
        <f>FEBRERO!AN39</f>
        <v>0</v>
      </c>
      <c r="AJ39">
        <f>FEBRERO!AO39</f>
        <v>0</v>
      </c>
    </row>
    <row r="40" spans="1:42" ht="14.4" hidden="1">
      <c r="A40" s="335"/>
      <c r="F40" s="175">
        <v>1</v>
      </c>
      <c r="G40" s="175" t="s">
        <v>687</v>
      </c>
      <c r="N40">
        <f>MARZO!M40</f>
        <v>8</v>
      </c>
      <c r="O40">
        <f>MARZO!N40</f>
        <v>0</v>
      </c>
      <c r="P40">
        <f>MARZO!O40</f>
        <v>0</v>
      </c>
      <c r="Q40">
        <f>MARZO!P40</f>
        <v>0</v>
      </c>
      <c r="R40">
        <f>MARZO!Q40</f>
        <v>0</v>
      </c>
      <c r="U40" s="32">
        <f>IF(V39=5,U39,"NO")</f>
        <v>19</v>
      </c>
      <c r="V40" s="32"/>
      <c r="W40" s="30"/>
      <c r="X40" s="30"/>
    </row>
    <row r="41" spans="1:42" ht="14.4" hidden="1">
      <c r="A41" s="335"/>
      <c r="F41" s="175">
        <v>2</v>
      </c>
      <c r="G41" s="175" t="s">
        <v>550</v>
      </c>
      <c r="N41" t="str">
        <f>MARZO!M41</f>
        <v>NO</v>
      </c>
      <c r="O41">
        <f>MARZO!N41</f>
        <v>0</v>
      </c>
      <c r="P41">
        <f>MARZO!O41</f>
        <v>0</v>
      </c>
      <c r="Q41">
        <f>MARZO!P41</f>
        <v>0</v>
      </c>
      <c r="R41">
        <f>MARZO!Q41</f>
        <v>0</v>
      </c>
      <c r="U41" s="32" t="str">
        <f>IF(V39=6,U39,"NO")</f>
        <v>NO</v>
      </c>
      <c r="V41" s="32"/>
      <c r="W41" s="30"/>
      <c r="X41" s="30"/>
    </row>
    <row r="42" spans="1:42" ht="14.4" hidden="1">
      <c r="A42" s="335"/>
      <c r="F42" s="175">
        <v>3</v>
      </c>
      <c r="G42" s="175" t="s">
        <v>688</v>
      </c>
    </row>
    <row r="43" spans="1:42" ht="14.4" hidden="1">
      <c r="A43" s="335"/>
      <c r="F43" s="175">
        <v>4</v>
      </c>
      <c r="G43" s="175" t="s">
        <v>551</v>
      </c>
    </row>
    <row r="44" spans="1:42" ht="14.4" hidden="1">
      <c r="A44" s="335"/>
      <c r="F44" s="175">
        <v>5</v>
      </c>
      <c r="G44" s="175" t="s">
        <v>552</v>
      </c>
    </row>
    <row r="45" spans="1:42" ht="14.4" hidden="1">
      <c r="A45" s="335"/>
      <c r="F45" s="175">
        <v>6</v>
      </c>
      <c r="G45" s="175" t="s">
        <v>553</v>
      </c>
    </row>
    <row r="46" spans="1:42" ht="14.4" hidden="1">
      <c r="A46" s="335"/>
      <c r="F46" s="175">
        <v>7</v>
      </c>
      <c r="G46" s="175" t="s">
        <v>554</v>
      </c>
    </row>
    <row r="47" spans="1:42" ht="14.4" hidden="1">
      <c r="A47" s="335"/>
      <c r="F47" s="175">
        <v>8</v>
      </c>
      <c r="G47" s="175" t="s">
        <v>689</v>
      </c>
    </row>
    <row r="48" spans="1:42" ht="14.4" hidden="1">
      <c r="A48" s="335"/>
      <c r="F48" s="175">
        <v>9</v>
      </c>
      <c r="G48" s="175" t="s">
        <v>690</v>
      </c>
    </row>
    <row r="49" spans="1:7" ht="14.4" hidden="1">
      <c r="A49" s="335"/>
      <c r="F49" s="175">
        <v>10</v>
      </c>
      <c r="G49" s="175" t="s">
        <v>691</v>
      </c>
    </row>
    <row r="50" spans="1:7" ht="14.4" hidden="1">
      <c r="A50" s="335"/>
      <c r="F50" s="175">
        <v>11</v>
      </c>
      <c r="G50" s="175" t="s">
        <v>555</v>
      </c>
    </row>
    <row r="51" spans="1:7" ht="14.4" hidden="1">
      <c r="A51" s="335"/>
      <c r="F51" s="175">
        <v>12</v>
      </c>
      <c r="G51" s="175" t="s">
        <v>556</v>
      </c>
    </row>
    <row r="52" spans="1:7" ht="14.4" hidden="1">
      <c r="A52" s="335"/>
      <c r="F52" s="175">
        <v>13</v>
      </c>
      <c r="G52" s="175" t="s">
        <v>576</v>
      </c>
    </row>
    <row r="53" spans="1:7" ht="14.4" hidden="1">
      <c r="A53" s="335"/>
      <c r="F53" s="175">
        <v>14</v>
      </c>
      <c r="G53" s="175" t="s">
        <v>692</v>
      </c>
    </row>
    <row r="54" spans="1:7" ht="14.4" hidden="1">
      <c r="A54" s="335"/>
      <c r="F54" s="175">
        <v>15</v>
      </c>
      <c r="G54" s="175" t="s">
        <v>557</v>
      </c>
    </row>
    <row r="55" spans="1:7" ht="14.4" hidden="1">
      <c r="A55" s="335"/>
      <c r="F55" s="175">
        <v>16</v>
      </c>
      <c r="G55" s="175" t="s">
        <v>693</v>
      </c>
    </row>
    <row r="56" spans="1:7" ht="14.4" hidden="1">
      <c r="A56" s="335"/>
      <c r="F56" s="175">
        <v>17</v>
      </c>
      <c r="G56" s="175" t="s">
        <v>694</v>
      </c>
    </row>
    <row r="57" spans="1:7" ht="14.4" hidden="1">
      <c r="A57" s="335"/>
      <c r="F57" s="175">
        <v>18</v>
      </c>
      <c r="G57" s="175" t="s">
        <v>558</v>
      </c>
    </row>
    <row r="58" spans="1:7" ht="14.4" hidden="1">
      <c r="A58" s="335"/>
      <c r="F58" s="175">
        <v>19</v>
      </c>
      <c r="G58" s="175" t="s">
        <v>695</v>
      </c>
    </row>
    <row r="59" spans="1:7" ht="14.4" hidden="1">
      <c r="A59" s="335"/>
      <c r="F59" s="175">
        <v>20</v>
      </c>
      <c r="G59" s="175" t="s">
        <v>559</v>
      </c>
    </row>
    <row r="60" spans="1:7" ht="14.4" hidden="1">
      <c r="A60" s="335"/>
      <c r="F60" s="175">
        <v>21</v>
      </c>
      <c r="G60" s="175" t="s">
        <v>560</v>
      </c>
    </row>
    <row r="61" spans="1:7" ht="14.4" hidden="1">
      <c r="A61" s="335"/>
      <c r="F61" s="175">
        <v>22</v>
      </c>
      <c r="G61" s="175" t="s">
        <v>696</v>
      </c>
    </row>
    <row r="62" spans="1:7" ht="14.4" hidden="1">
      <c r="A62" s="335"/>
      <c r="F62" s="175">
        <v>23</v>
      </c>
      <c r="G62" s="175" t="s">
        <v>697</v>
      </c>
    </row>
    <row r="63" spans="1:7" ht="14.4" hidden="1">
      <c r="A63" s="335"/>
      <c r="F63" s="175">
        <v>24</v>
      </c>
      <c r="G63" s="175" t="s">
        <v>698</v>
      </c>
    </row>
    <row r="64" spans="1:7" ht="14.4" hidden="1">
      <c r="A64" s="335"/>
      <c r="F64" s="175">
        <v>25</v>
      </c>
      <c r="G64" s="175" t="s">
        <v>562</v>
      </c>
    </row>
    <row r="65" spans="1:7" ht="14.4" hidden="1">
      <c r="A65" s="335"/>
      <c r="F65" s="175">
        <v>26</v>
      </c>
      <c r="G65" s="175" t="s">
        <v>699</v>
      </c>
    </row>
    <row r="66" spans="1:7" ht="14.4" hidden="1">
      <c r="A66" s="335"/>
      <c r="F66" s="175">
        <v>27</v>
      </c>
      <c r="G66" s="175" t="s">
        <v>563</v>
      </c>
    </row>
    <row r="67" spans="1:7" ht="14.4" hidden="1">
      <c r="A67" s="335"/>
      <c r="F67" s="175">
        <v>28</v>
      </c>
      <c r="G67" s="175" t="s">
        <v>700</v>
      </c>
    </row>
    <row r="68" spans="1:7" ht="14.4" hidden="1">
      <c r="A68" s="335"/>
      <c r="F68" s="175">
        <v>29</v>
      </c>
      <c r="G68" s="175" t="s">
        <v>564</v>
      </c>
    </row>
    <row r="69" spans="1:7" ht="14.4" hidden="1">
      <c r="A69" s="335"/>
      <c r="F69" s="175">
        <v>30</v>
      </c>
      <c r="G69" s="175" t="s">
        <v>565</v>
      </c>
    </row>
    <row r="70" spans="1:7" hidden="1">
      <c r="F70" s="175">
        <v>31</v>
      </c>
      <c r="G70" s="215" t="s">
        <v>961</v>
      </c>
    </row>
    <row r="71" spans="1:7" hidden="1"/>
  </sheetData>
  <customSheetViews>
    <customSheetView guid="{93FD35E9-1E2C-4BB9-BB5F-2E73C17EC4AF}" scale="115" showGridLines="0" showRowCol="0" outlineSymbols="0" zeroValues="0" hiddenRows="1">
      <selection activeCell="AJ1" sqref="AJ1:AN1"/>
      <pageMargins left="0.75" right="0.75" top="1" bottom="1" header="0" footer="0"/>
      <headerFooter alignWithMargins="0"/>
    </customSheetView>
  </customSheetViews>
  <mergeCells count="101">
    <mergeCell ref="B30:U33"/>
    <mergeCell ref="AN19:AP21"/>
    <mergeCell ref="AH23:AJ25"/>
    <mergeCell ref="AK22:AM22"/>
    <mergeCell ref="AN22:AP22"/>
    <mergeCell ref="AH22:AJ22"/>
    <mergeCell ref="AK23:AM25"/>
    <mergeCell ref="AN23:AP25"/>
    <mergeCell ref="U38:X38"/>
    <mergeCell ref="AH27:AJ29"/>
    <mergeCell ref="AK27:AM29"/>
    <mergeCell ref="AA36:AG36"/>
    <mergeCell ref="AI36:AO36"/>
    <mergeCell ref="AB27:AD29"/>
    <mergeCell ref="AB30:AD30"/>
    <mergeCell ref="V34:X34"/>
    <mergeCell ref="Y34:AA34"/>
    <mergeCell ref="AN27:AP29"/>
    <mergeCell ref="Y27:AA29"/>
    <mergeCell ref="AN34:AP34"/>
    <mergeCell ref="AE34:AG34"/>
    <mergeCell ref="AH34:AJ34"/>
    <mergeCell ref="AI33:AJ33"/>
    <mergeCell ref="AL33:AM33"/>
    <mergeCell ref="AK34:AM34"/>
    <mergeCell ref="AH30:AJ30"/>
    <mergeCell ref="AE30:AG30"/>
    <mergeCell ref="AK30:AM30"/>
    <mergeCell ref="AE27:AG29"/>
    <mergeCell ref="V30:X30"/>
    <mergeCell ref="Y30:AA30"/>
    <mergeCell ref="V27:X29"/>
    <mergeCell ref="V31:X33"/>
    <mergeCell ref="Y31:AA33"/>
    <mergeCell ref="AB31:AD33"/>
    <mergeCell ref="V19:X21"/>
    <mergeCell ref="Y19:AA21"/>
    <mergeCell ref="AB19:AD21"/>
    <mergeCell ref="V26:X26"/>
    <mergeCell ref="Y26:AA26"/>
    <mergeCell ref="V15:X17"/>
    <mergeCell ref="Y15:AA17"/>
    <mergeCell ref="AB15:AD17"/>
    <mergeCell ref="V10:X10"/>
    <mergeCell ref="Y10:AA10"/>
    <mergeCell ref="V23:X25"/>
    <mergeCell ref="V18:X18"/>
    <mergeCell ref="Y18:AA18"/>
    <mergeCell ref="AB18:AD18"/>
    <mergeCell ref="V22:X22"/>
    <mergeCell ref="AB14:AD14"/>
    <mergeCell ref="AB23:AD25"/>
    <mergeCell ref="Y23:AA25"/>
    <mergeCell ref="AE23:AG25"/>
    <mergeCell ref="Y22:AA22"/>
    <mergeCell ref="AB22:AD22"/>
    <mergeCell ref="AE22:AG22"/>
    <mergeCell ref="AH11:AJ13"/>
    <mergeCell ref="AK11:AM13"/>
    <mergeCell ref="AN11:AP13"/>
    <mergeCell ref="AO33:AP33"/>
    <mergeCell ref="AF33:AG33"/>
    <mergeCell ref="AE19:AG21"/>
    <mergeCell ref="AE18:AG18"/>
    <mergeCell ref="AH18:AJ18"/>
    <mergeCell ref="AK18:AM18"/>
    <mergeCell ref="AH26:AJ26"/>
    <mergeCell ref="AK26:AM26"/>
    <mergeCell ref="AN26:AP26"/>
    <mergeCell ref="AN14:AP14"/>
    <mergeCell ref="AN18:AP18"/>
    <mergeCell ref="AH15:AJ17"/>
    <mergeCell ref="AH19:AJ21"/>
    <mergeCell ref="AE26:AG26"/>
    <mergeCell ref="AB26:AD26"/>
    <mergeCell ref="AK19:AM21"/>
    <mergeCell ref="AN30:AP30"/>
    <mergeCell ref="B1:U3"/>
    <mergeCell ref="V11:X13"/>
    <mergeCell ref="Y11:AA13"/>
    <mergeCell ref="AB11:AD13"/>
    <mergeCell ref="AE11:AG13"/>
    <mergeCell ref="AE15:AG17"/>
    <mergeCell ref="AO1:AP1"/>
    <mergeCell ref="AD2:AH4"/>
    <mergeCell ref="AD5:AH7"/>
    <mergeCell ref="AB10:AD10"/>
    <mergeCell ref="AE10:AG10"/>
    <mergeCell ref="AH10:AJ10"/>
    <mergeCell ref="AK10:AM10"/>
    <mergeCell ref="AN10:AP10"/>
    <mergeCell ref="AJ1:AN1"/>
    <mergeCell ref="AK15:AM17"/>
    <mergeCell ref="AN15:AP17"/>
    <mergeCell ref="V14:X14"/>
    <mergeCell ref="Y14:AA14"/>
    <mergeCell ref="AE14:AG14"/>
    <mergeCell ref="AH14:AJ14"/>
    <mergeCell ref="AK14:AM14"/>
    <mergeCell ref="V1:Z1"/>
    <mergeCell ref="AA1:AB1"/>
  </mergeCells>
  <phoneticPr fontId="24" type="noConversion"/>
  <conditionalFormatting sqref="X5">
    <cfRule type="cellIs" dxfId="135" priority="1" stopIfTrue="1" operator="equal">
      <formula>$AM$38</formula>
    </cfRule>
  </conditionalFormatting>
  <conditionalFormatting sqref="V5:V8">
    <cfRule type="cellIs" dxfId="134" priority="2" stopIfTrue="1" operator="equal">
      <formula>$N$40</formula>
    </cfRule>
  </conditionalFormatting>
  <conditionalFormatting sqref="AJ3:AP3">
    <cfRule type="cellIs" dxfId="133" priority="3" stopIfTrue="1" operator="equal">
      <formula>1</formula>
    </cfRule>
  </conditionalFormatting>
  <conditionalFormatting sqref="AH15:AP17 V19:AG21">
    <cfRule type="cellIs" dxfId="132" priority="6" stopIfTrue="1" operator="equal">
      <formula>12</formula>
    </cfRule>
  </conditionalFormatting>
  <conditionalFormatting sqref="AM4:AP4 AJ5:AL5">
    <cfRule type="cellIs" dxfId="131" priority="12" stopIfTrue="1" operator="equal">
      <formula>11</formula>
    </cfRule>
  </conditionalFormatting>
  <conditionalFormatting sqref="Y15:AP17 V19">
    <cfRule type="cellIs" dxfId="130" priority="5" stopIfTrue="1" operator="equal">
      <formula>9</formula>
    </cfRule>
  </conditionalFormatting>
  <hyperlinks>
    <hyperlink ref="AD5:AH7" location="año!A1" display="año!A1"/>
    <hyperlink ref="V1:Z1" location="SEPTIEMBRE!A1" display="SEPTIEMBRE!A1"/>
    <hyperlink ref="AJ1:AN1" location="NOVIEMBRE!A1" display="NOVIEMBRE!A1"/>
    <hyperlink ref="AI36:AO36" location="PORTADA!A1" display="IR A PORTADA"/>
    <hyperlink ref="AA36:AG36" location="año!A1" display="IR A AÑO COMPLETO"/>
  </hyperlinks>
  <pageMargins left="0.74803149606299213" right="0.74803149606299213" top="0.98425196850393704" bottom="0.98425196850393704" header="0" footer="0"/>
  <pageSetup paperSize="9" scale="93"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sheetPr codeName="Hoja9"/>
  <dimension ref="B1:AP70"/>
  <sheetViews>
    <sheetView showGridLines="0" showRowColHeaders="0" showZeros="0" showOutlineSymbols="0" zoomScale="125" zoomScaleNormal="125" workbookViewId="0">
      <selection activeCell="J71" sqref="J71"/>
    </sheetView>
  </sheetViews>
  <sheetFormatPr baseColWidth="10" defaultColWidth="3.33203125" defaultRowHeight="13.2"/>
  <sheetData>
    <row r="1" spans="2:42" ht="10.5" customHeight="1" thickBot="1">
      <c r="B1" s="1107" t="s">
        <v>991</v>
      </c>
      <c r="C1" s="1096"/>
      <c r="D1" s="1096"/>
      <c r="E1" s="1096"/>
      <c r="F1" s="1096"/>
      <c r="G1" s="1096"/>
      <c r="H1" s="1096"/>
      <c r="I1" s="1096"/>
      <c r="J1" s="1096"/>
      <c r="K1" s="1096"/>
      <c r="L1" s="1096"/>
      <c r="M1" s="1096"/>
      <c r="N1" s="1096"/>
      <c r="O1" s="1096"/>
      <c r="P1" s="1096"/>
      <c r="Q1" s="1096"/>
      <c r="R1" s="1096"/>
      <c r="S1" s="1096"/>
      <c r="T1" s="1096"/>
      <c r="U1" s="1097"/>
      <c r="V1" s="1055" t="str">
        <f>año!$AA$13</f>
        <v>AGOSTO</v>
      </c>
      <c r="W1" s="1056"/>
      <c r="X1" s="1056"/>
      <c r="Y1" s="1056"/>
      <c r="Z1" s="1056"/>
      <c r="AA1" s="1057">
        <f>año!$O$1</f>
        <v>2024</v>
      </c>
      <c r="AB1" s="1058"/>
      <c r="AJ1" s="1055" t="str">
        <f>año!$K$22</f>
        <v>OCTUBRE</v>
      </c>
      <c r="AK1" s="1056"/>
      <c r="AL1" s="1056"/>
      <c r="AM1" s="1056"/>
      <c r="AN1" s="1056"/>
      <c r="AO1" s="1098">
        <f>año!$O$1</f>
        <v>2024</v>
      </c>
      <c r="AP1" s="1099"/>
    </row>
    <row r="2" spans="2:42" ht="9" customHeight="1" thickBot="1">
      <c r="B2" s="1107"/>
      <c r="C2" s="1096"/>
      <c r="D2" s="1096"/>
      <c r="E2" s="1096"/>
      <c r="F2" s="1096"/>
      <c r="G2" s="1096"/>
      <c r="H2" s="1096"/>
      <c r="I2" s="1096"/>
      <c r="J2" s="1096"/>
      <c r="K2" s="1096"/>
      <c r="L2" s="1096"/>
      <c r="M2" s="1096"/>
      <c r="N2" s="1096"/>
      <c r="O2" s="1096"/>
      <c r="P2" s="1096"/>
      <c r="Q2" s="1096"/>
      <c r="R2" s="1096"/>
      <c r="S2" s="1096"/>
      <c r="T2" s="1096"/>
      <c r="U2" s="1097"/>
      <c r="V2" s="119" t="s">
        <v>20</v>
      </c>
      <c r="W2" s="120" t="s">
        <v>17</v>
      </c>
      <c r="X2" s="120" t="s">
        <v>29</v>
      </c>
      <c r="Y2" s="120" t="s">
        <v>24</v>
      </c>
      <c r="Z2" s="120" t="s">
        <v>12</v>
      </c>
      <c r="AA2" s="120" t="s">
        <v>7</v>
      </c>
      <c r="AB2" s="121" t="s">
        <v>15</v>
      </c>
      <c r="AD2" s="1109" t="str">
        <f>año!$C$22</f>
        <v>SEPTIEMBRE</v>
      </c>
      <c r="AE2" s="1109"/>
      <c r="AF2" s="1109"/>
      <c r="AG2" s="1109"/>
      <c r="AH2" s="1109"/>
      <c r="AJ2" s="119" t="s">
        <v>20</v>
      </c>
      <c r="AK2" s="120" t="s">
        <v>17</v>
      </c>
      <c r="AL2" s="120" t="s">
        <v>29</v>
      </c>
      <c r="AM2" s="120" t="s">
        <v>24</v>
      </c>
      <c r="AN2" s="120" t="s">
        <v>12</v>
      </c>
      <c r="AO2" s="120" t="s">
        <v>7</v>
      </c>
      <c r="AP2" s="121" t="s">
        <v>15</v>
      </c>
    </row>
    <row r="3" spans="2:42" ht="9" customHeight="1">
      <c r="B3" s="1107"/>
      <c r="C3" s="1096"/>
      <c r="D3" s="1096"/>
      <c r="E3" s="1096"/>
      <c r="F3" s="1096"/>
      <c r="G3" s="1096"/>
      <c r="H3" s="1096"/>
      <c r="I3" s="1096"/>
      <c r="J3" s="1096"/>
      <c r="K3" s="1096"/>
      <c r="L3" s="1096"/>
      <c r="M3" s="1096"/>
      <c r="N3" s="1096"/>
      <c r="O3" s="1096"/>
      <c r="P3" s="1096"/>
      <c r="Q3" s="1096"/>
      <c r="R3" s="1096"/>
      <c r="S3" s="1096"/>
      <c r="T3" s="1096"/>
      <c r="U3" s="1097"/>
      <c r="V3" s="135" t="str">
        <f>año!AA15</f>
        <v xml:space="preserve"> </v>
      </c>
      <c r="W3" s="123" t="str">
        <f>año!AB15</f>
        <v xml:space="preserve"> </v>
      </c>
      <c r="X3" s="123" t="str">
        <f>año!AC15</f>
        <v xml:space="preserve"> </v>
      </c>
      <c r="Y3" s="123">
        <f>año!AD15</f>
        <v>1</v>
      </c>
      <c r="Z3" s="123">
        <f>año!AE15</f>
        <v>2</v>
      </c>
      <c r="AA3" s="123">
        <f>año!AF15</f>
        <v>3</v>
      </c>
      <c r="AB3" s="132">
        <f>año!AG15</f>
        <v>4</v>
      </c>
      <c r="AD3" s="1109"/>
      <c r="AE3" s="1109"/>
      <c r="AF3" s="1109"/>
      <c r="AG3" s="1109"/>
      <c r="AH3" s="1109"/>
      <c r="AJ3" s="128" t="str">
        <f>año!K24</f>
        <v xml:space="preserve"> </v>
      </c>
      <c r="AK3" s="129">
        <f>año!L24</f>
        <v>1</v>
      </c>
      <c r="AL3" s="129">
        <f>año!M24</f>
        <v>2</v>
      </c>
      <c r="AM3" s="129">
        <f>año!N24</f>
        <v>3</v>
      </c>
      <c r="AN3" s="129">
        <f>año!O24</f>
        <v>4</v>
      </c>
      <c r="AO3" s="129">
        <f>año!P24</f>
        <v>5</v>
      </c>
      <c r="AP3" s="132">
        <f>año!Q24</f>
        <v>6</v>
      </c>
    </row>
    <row r="4" spans="2:42" ht="9" customHeight="1">
      <c r="B4" s="350"/>
      <c r="C4" s="349"/>
      <c r="D4" s="349"/>
      <c r="E4" s="349"/>
      <c r="F4" s="349"/>
      <c r="G4" s="349"/>
      <c r="H4" s="349"/>
      <c r="I4" s="349"/>
      <c r="J4" s="349"/>
      <c r="K4" s="349"/>
      <c r="L4" s="349"/>
      <c r="M4" s="349"/>
      <c r="N4" s="349"/>
      <c r="O4" s="349"/>
      <c r="P4" s="349"/>
      <c r="Q4" s="349"/>
      <c r="R4" s="349"/>
      <c r="S4" s="349"/>
      <c r="T4" s="349"/>
      <c r="U4" s="351"/>
      <c r="V4" s="124">
        <f>año!AA16</f>
        <v>5</v>
      </c>
      <c r="W4" s="125">
        <f>año!AB16</f>
        <v>6</v>
      </c>
      <c r="X4" s="125">
        <f>año!AC16</f>
        <v>7</v>
      </c>
      <c r="Y4" s="125">
        <f>año!AD16</f>
        <v>8</v>
      </c>
      <c r="Z4" s="125">
        <f>año!AE16</f>
        <v>9</v>
      </c>
      <c r="AA4" s="399">
        <f>año!AF16</f>
        <v>10</v>
      </c>
      <c r="AB4" s="400">
        <f>año!AG16</f>
        <v>11</v>
      </c>
      <c r="AD4" s="1109"/>
      <c r="AE4" s="1109"/>
      <c r="AF4" s="1109"/>
      <c r="AG4" s="1109"/>
      <c r="AH4" s="1109"/>
      <c r="AJ4" s="130">
        <f>año!K25</f>
        <v>7</v>
      </c>
      <c r="AK4" s="131">
        <f>año!L25</f>
        <v>8</v>
      </c>
      <c r="AL4" s="131">
        <f>año!M25</f>
        <v>9</v>
      </c>
      <c r="AM4" s="131">
        <f>año!N25</f>
        <v>10</v>
      </c>
      <c r="AN4" s="131">
        <f>año!O25</f>
        <v>11</v>
      </c>
      <c r="AO4" s="131">
        <f>año!P25</f>
        <v>12</v>
      </c>
      <c r="AP4" s="133">
        <f>año!Q25</f>
        <v>13</v>
      </c>
    </row>
    <row r="5" spans="2:42" ht="9" customHeight="1">
      <c r="B5" s="350"/>
      <c r="C5" s="349"/>
      <c r="D5" s="349"/>
      <c r="E5" s="349"/>
      <c r="F5" s="349"/>
      <c r="G5" s="349"/>
      <c r="H5" s="349"/>
      <c r="I5" s="349"/>
      <c r="J5" s="349"/>
      <c r="K5" s="349"/>
      <c r="L5" s="349"/>
      <c r="M5" s="349"/>
      <c r="N5" s="349"/>
      <c r="O5" s="349"/>
      <c r="P5" s="349"/>
      <c r="Q5" s="349"/>
      <c r="R5" s="349"/>
      <c r="S5" s="349"/>
      <c r="T5" s="349"/>
      <c r="U5" s="351"/>
      <c r="V5" s="124">
        <f>año!AA17</f>
        <v>12</v>
      </c>
      <c r="W5" s="125">
        <f>año!AB17</f>
        <v>13</v>
      </c>
      <c r="X5" s="125">
        <f>año!AC17</f>
        <v>14</v>
      </c>
      <c r="Y5" s="125">
        <f>año!AD17</f>
        <v>15</v>
      </c>
      <c r="Z5" s="125">
        <f>año!AE17</f>
        <v>16</v>
      </c>
      <c r="AA5" s="125">
        <f>año!AF17</f>
        <v>17</v>
      </c>
      <c r="AB5" s="133">
        <f>año!AG17</f>
        <v>18</v>
      </c>
      <c r="AD5" s="1044">
        <f>año!$O$1</f>
        <v>2024</v>
      </c>
      <c r="AE5" s="1045"/>
      <c r="AF5" s="1045"/>
      <c r="AG5" s="1045"/>
      <c r="AH5" s="1045"/>
      <c r="AJ5" s="130">
        <f>año!K26</f>
        <v>14</v>
      </c>
      <c r="AK5" s="131">
        <f>año!L26</f>
        <v>15</v>
      </c>
      <c r="AL5" s="131">
        <f>año!M26</f>
        <v>16</v>
      </c>
      <c r="AM5" s="131">
        <f>año!N26</f>
        <v>17</v>
      </c>
      <c r="AN5" s="131">
        <f>año!O26</f>
        <v>18</v>
      </c>
      <c r="AO5" s="131">
        <f>año!P26</f>
        <v>19</v>
      </c>
      <c r="AP5" s="133">
        <f>año!Q26</f>
        <v>20</v>
      </c>
    </row>
    <row r="6" spans="2:42" ht="9" customHeight="1">
      <c r="B6" s="350"/>
      <c r="C6" s="349"/>
      <c r="D6" s="349"/>
      <c r="E6" s="349"/>
      <c r="F6" s="349"/>
      <c r="G6" s="349"/>
      <c r="H6" s="349"/>
      <c r="I6" s="349"/>
      <c r="J6" s="349"/>
      <c r="K6" s="349"/>
      <c r="L6" s="349"/>
      <c r="M6" s="349"/>
      <c r="N6" s="349"/>
      <c r="O6" s="349"/>
      <c r="P6" s="349"/>
      <c r="Q6" s="349"/>
      <c r="R6" s="349"/>
      <c r="S6" s="349"/>
      <c r="T6" s="349"/>
      <c r="U6" s="351"/>
      <c r="V6" s="124">
        <f>año!AA18</f>
        <v>19</v>
      </c>
      <c r="W6" s="125">
        <f>año!AB18</f>
        <v>20</v>
      </c>
      <c r="X6" s="125">
        <f>año!AC18</f>
        <v>21</v>
      </c>
      <c r="Y6" s="125">
        <f>año!AD18</f>
        <v>22</v>
      </c>
      <c r="Z6" s="125">
        <f>año!AE18</f>
        <v>23</v>
      </c>
      <c r="AA6" s="125">
        <f>año!AF18</f>
        <v>24</v>
      </c>
      <c r="AB6" s="133">
        <f>año!AG18</f>
        <v>25</v>
      </c>
      <c r="AD6" s="1045"/>
      <c r="AE6" s="1045"/>
      <c r="AF6" s="1045"/>
      <c r="AG6" s="1045"/>
      <c r="AH6" s="1045"/>
      <c r="AJ6" s="130">
        <f>año!K27</f>
        <v>21</v>
      </c>
      <c r="AK6" s="131">
        <f>año!L27</f>
        <v>22</v>
      </c>
      <c r="AL6" s="131">
        <f>año!M27</f>
        <v>23</v>
      </c>
      <c r="AM6" s="131">
        <f>año!N27</f>
        <v>24</v>
      </c>
      <c r="AN6" s="131">
        <f>año!O27</f>
        <v>25</v>
      </c>
      <c r="AO6" s="131">
        <f>año!P27</f>
        <v>26</v>
      </c>
      <c r="AP6" s="133">
        <f>año!Q27</f>
        <v>27</v>
      </c>
    </row>
    <row r="7" spans="2:42" ht="9" customHeight="1">
      <c r="B7" s="350"/>
      <c r="C7" s="349"/>
      <c r="D7" s="349"/>
      <c r="E7" s="349"/>
      <c r="F7" s="349"/>
      <c r="G7" s="349"/>
      <c r="H7" s="349"/>
      <c r="I7" s="349"/>
      <c r="J7" s="349"/>
      <c r="K7" s="349"/>
      <c r="L7" s="349"/>
      <c r="M7" s="349"/>
      <c r="N7" s="349"/>
      <c r="O7" s="349"/>
      <c r="P7" s="349"/>
      <c r="Q7" s="349"/>
      <c r="R7" s="349"/>
      <c r="S7" s="349"/>
      <c r="T7" s="349"/>
      <c r="U7" s="351"/>
      <c r="V7" s="124">
        <f>año!AA19</f>
        <v>26</v>
      </c>
      <c r="W7" s="125">
        <f>año!AB19</f>
        <v>27</v>
      </c>
      <c r="X7" s="125">
        <f>año!AC19</f>
        <v>28</v>
      </c>
      <c r="Y7" s="125">
        <f>año!AD19</f>
        <v>29</v>
      </c>
      <c r="Z7" s="125">
        <f>año!AE19</f>
        <v>30</v>
      </c>
      <c r="AA7" s="125">
        <f>año!AF19</f>
        <v>31</v>
      </c>
      <c r="AB7" s="133" t="str">
        <f>año!AG19</f>
        <v xml:space="preserve"> </v>
      </c>
      <c r="AD7" s="1045"/>
      <c r="AE7" s="1045"/>
      <c r="AF7" s="1045"/>
      <c r="AG7" s="1045"/>
      <c r="AH7" s="1045"/>
      <c r="AJ7" s="130">
        <f>año!K28</f>
        <v>28</v>
      </c>
      <c r="AK7" s="131">
        <f>año!L28</f>
        <v>29</v>
      </c>
      <c r="AL7" s="131">
        <f>año!M28</f>
        <v>30</v>
      </c>
      <c r="AM7" s="131">
        <f>año!N28</f>
        <v>31</v>
      </c>
      <c r="AN7" s="131" t="str">
        <f>año!O28</f>
        <v xml:space="preserve"> </v>
      </c>
      <c r="AO7" s="131" t="str">
        <f>año!P28</f>
        <v xml:space="preserve"> </v>
      </c>
      <c r="AP7" s="133" t="str">
        <f>año!Q28</f>
        <v xml:space="preserve"> </v>
      </c>
    </row>
    <row r="8" spans="2:42" ht="9" customHeight="1" thickBot="1">
      <c r="B8" s="350"/>
      <c r="C8" s="349"/>
      <c r="D8" s="349"/>
      <c r="E8" s="349"/>
      <c r="F8" s="349"/>
      <c r="G8" s="349"/>
      <c r="H8" s="349"/>
      <c r="I8" s="349"/>
      <c r="J8" s="349"/>
      <c r="K8" s="349"/>
      <c r="L8" s="349"/>
      <c r="M8" s="349"/>
      <c r="N8" s="349"/>
      <c r="O8" s="349"/>
      <c r="P8" s="349"/>
      <c r="Q8" s="349"/>
      <c r="R8" s="349"/>
      <c r="S8" s="349"/>
      <c r="T8" s="349"/>
      <c r="U8" s="352"/>
      <c r="V8" s="126" t="str">
        <f>año!AA20</f>
        <v xml:space="preserve"> </v>
      </c>
      <c r="W8" s="127" t="str">
        <f>año!AB20</f>
        <v xml:space="preserve"> </v>
      </c>
      <c r="X8" s="127" t="str">
        <f>año!AC20</f>
        <v xml:space="preserve"> </v>
      </c>
      <c r="Y8" s="127" t="str">
        <f>año!AD20</f>
        <v xml:space="preserve"> </v>
      </c>
      <c r="Z8" s="127" t="str">
        <f>año!AE20</f>
        <v xml:space="preserve"> </v>
      </c>
      <c r="AA8" s="127" t="str">
        <f>año!AF20</f>
        <v xml:space="preserve"> </v>
      </c>
      <c r="AB8" s="134" t="str">
        <f>año!AG20</f>
        <v xml:space="preserve"> </v>
      </c>
      <c r="AJ8" s="126" t="str">
        <f>año!K29</f>
        <v xml:space="preserve"> </v>
      </c>
      <c r="AK8" s="127" t="str">
        <f>año!L29</f>
        <v xml:space="preserve"> </v>
      </c>
      <c r="AL8" s="127" t="str">
        <f>año!M29</f>
        <v xml:space="preserve"> </v>
      </c>
      <c r="AM8" s="127" t="str">
        <f>año!N29</f>
        <v xml:space="preserve"> </v>
      </c>
      <c r="AN8" s="127" t="str">
        <f>año!O29</f>
        <v xml:space="preserve"> </v>
      </c>
      <c r="AO8" s="127" t="str">
        <f>año!P29</f>
        <v xml:space="preserve"> </v>
      </c>
      <c r="AP8" s="137" t="str">
        <f>año!Q29</f>
        <v xml:space="preserve"> </v>
      </c>
    </row>
    <row r="9" spans="2:42" ht="9" customHeight="1">
      <c r="B9" s="350"/>
      <c r="C9" s="349"/>
      <c r="D9" s="349"/>
      <c r="E9" s="349"/>
      <c r="F9" s="349"/>
      <c r="G9" s="349"/>
      <c r="H9" s="349"/>
      <c r="I9" s="349"/>
      <c r="J9" s="349"/>
      <c r="K9" s="349"/>
      <c r="L9" s="349"/>
      <c r="M9" s="349"/>
      <c r="N9" s="349"/>
      <c r="O9" s="349"/>
      <c r="P9" s="349"/>
      <c r="Q9" s="349"/>
      <c r="R9" s="349"/>
      <c r="S9" s="349"/>
      <c r="T9" s="349"/>
      <c r="U9" s="352"/>
      <c r="V9" s="112"/>
      <c r="W9" s="112"/>
      <c r="X9" s="112"/>
      <c r="Y9" s="112"/>
      <c r="Z9" s="112"/>
      <c r="AA9" s="112"/>
      <c r="AB9" s="112"/>
      <c r="AC9" s="112"/>
      <c r="AD9" s="112"/>
      <c r="AE9" s="112"/>
      <c r="AF9" s="112"/>
      <c r="AG9" s="112"/>
      <c r="AH9" s="112"/>
      <c r="AI9" s="112"/>
      <c r="AJ9" s="112"/>
      <c r="AK9" s="112"/>
      <c r="AL9" s="112"/>
      <c r="AM9" s="112"/>
      <c r="AN9" s="112"/>
      <c r="AO9" s="112"/>
      <c r="AP9" s="112"/>
    </row>
    <row r="10" spans="2:42" ht="9" customHeight="1">
      <c r="B10" s="350"/>
      <c r="C10" s="349"/>
      <c r="D10" s="349"/>
      <c r="E10" s="349"/>
      <c r="F10" s="349"/>
      <c r="G10" s="349"/>
      <c r="H10" s="349"/>
      <c r="I10" s="349"/>
      <c r="J10" s="349"/>
      <c r="K10" s="349"/>
      <c r="L10" s="349"/>
      <c r="M10" s="349"/>
      <c r="N10" s="349"/>
      <c r="O10" s="349"/>
      <c r="P10" s="349"/>
      <c r="Q10" s="349"/>
      <c r="R10" s="349"/>
      <c r="S10" s="349"/>
      <c r="T10" s="349"/>
      <c r="U10" s="352"/>
      <c r="V10" s="1046" t="s">
        <v>99</v>
      </c>
      <c r="W10" s="1046"/>
      <c r="X10" s="1047"/>
      <c r="Y10" s="1048" t="s">
        <v>100</v>
      </c>
      <c r="Z10" s="1046"/>
      <c r="AA10" s="1047"/>
      <c r="AB10" s="1048" t="s">
        <v>101</v>
      </c>
      <c r="AC10" s="1046"/>
      <c r="AD10" s="1047"/>
      <c r="AE10" s="1048" t="s">
        <v>102</v>
      </c>
      <c r="AF10" s="1046"/>
      <c r="AG10" s="1047"/>
      <c r="AH10" s="1048" t="s">
        <v>103</v>
      </c>
      <c r="AI10" s="1046"/>
      <c r="AJ10" s="1047"/>
      <c r="AK10" s="1048" t="s">
        <v>104</v>
      </c>
      <c r="AL10" s="1046"/>
      <c r="AM10" s="1047"/>
      <c r="AN10" s="1048" t="s">
        <v>105</v>
      </c>
      <c r="AO10" s="1046"/>
      <c r="AP10" s="1047"/>
    </row>
    <row r="11" spans="2:42" ht="9" customHeight="1">
      <c r="B11" s="350"/>
      <c r="C11" s="349"/>
      <c r="D11" s="349"/>
      <c r="E11" s="349"/>
      <c r="F11" s="349"/>
      <c r="G11" s="349"/>
      <c r="H11" s="349"/>
      <c r="I11" s="349"/>
      <c r="J11" s="349"/>
      <c r="K11" s="349"/>
      <c r="L11" s="349"/>
      <c r="M11" s="349"/>
      <c r="N11" s="349"/>
      <c r="O11" s="349"/>
      <c r="P11" s="349"/>
      <c r="Q11" s="349"/>
      <c r="R11" s="349"/>
      <c r="S11" s="349"/>
      <c r="T11" s="349"/>
      <c r="U11" s="352"/>
      <c r="V11" s="1060" t="str">
        <f>año!C24</f>
        <v xml:space="preserve"> </v>
      </c>
      <c r="W11" s="1061"/>
      <c r="X11" s="1061"/>
      <c r="Y11" s="1061" t="str">
        <f>año!D24</f>
        <v xml:space="preserve"> </v>
      </c>
      <c r="Z11" s="1061"/>
      <c r="AA11" s="1061"/>
      <c r="AB11" s="1052" t="str">
        <f>año!E24</f>
        <v xml:space="preserve"> </v>
      </c>
      <c r="AC11" s="1052"/>
      <c r="AD11" s="1052"/>
      <c r="AE11" s="1052" t="str">
        <f>año!F24</f>
        <v xml:space="preserve"> </v>
      </c>
      <c r="AF11" s="1052"/>
      <c r="AG11" s="1052"/>
      <c r="AH11" s="1052" t="str">
        <f>año!G24</f>
        <v xml:space="preserve"> </v>
      </c>
      <c r="AI11" s="1052"/>
      <c r="AJ11" s="1052"/>
      <c r="AK11" s="1052" t="str">
        <f>año!H24</f>
        <v xml:space="preserve"> </v>
      </c>
      <c r="AL11" s="1052"/>
      <c r="AM11" s="1052"/>
      <c r="AN11" s="1062">
        <f>año!I24</f>
        <v>1</v>
      </c>
      <c r="AO11" s="1062"/>
      <c r="AP11" s="1063"/>
    </row>
    <row r="12" spans="2:42" ht="9" customHeight="1">
      <c r="B12" s="350"/>
      <c r="C12" s="349"/>
      <c r="D12" s="349"/>
      <c r="E12" s="349"/>
      <c r="F12" s="349"/>
      <c r="G12" s="349"/>
      <c r="H12" s="349"/>
      <c r="I12" s="349"/>
      <c r="J12" s="349"/>
      <c r="K12" s="349"/>
      <c r="L12" s="349"/>
      <c r="M12" s="349"/>
      <c r="N12" s="349"/>
      <c r="O12" s="349"/>
      <c r="P12" s="349"/>
      <c r="Q12" s="349"/>
      <c r="R12" s="349"/>
      <c r="S12" s="349"/>
      <c r="T12" s="349"/>
      <c r="U12" s="352"/>
      <c r="V12" s="1051"/>
      <c r="W12" s="1052"/>
      <c r="X12" s="1052"/>
      <c r="Y12" s="1052"/>
      <c r="Z12" s="1052"/>
      <c r="AA12" s="1052"/>
      <c r="AB12" s="1052"/>
      <c r="AC12" s="1052"/>
      <c r="AD12" s="1052"/>
      <c r="AE12" s="1052"/>
      <c r="AF12" s="1052"/>
      <c r="AG12" s="1052"/>
      <c r="AH12" s="1052"/>
      <c r="AI12" s="1052"/>
      <c r="AJ12" s="1052"/>
      <c r="AK12" s="1052"/>
      <c r="AL12" s="1052"/>
      <c r="AM12" s="1052"/>
      <c r="AN12" s="1064"/>
      <c r="AO12" s="1064"/>
      <c r="AP12" s="1065"/>
    </row>
    <row r="13" spans="2:42" ht="9" customHeight="1">
      <c r="B13" s="350"/>
      <c r="C13" s="349"/>
      <c r="D13" s="349"/>
      <c r="E13" s="349"/>
      <c r="F13" s="349"/>
      <c r="G13" s="349"/>
      <c r="H13" s="349"/>
      <c r="I13" s="349"/>
      <c r="J13" s="349"/>
      <c r="K13" s="349"/>
      <c r="L13" s="349"/>
      <c r="M13" s="349"/>
      <c r="N13" s="349"/>
      <c r="O13" s="349"/>
      <c r="P13" s="349"/>
      <c r="Q13" s="349"/>
      <c r="R13" s="349"/>
      <c r="S13" s="349"/>
      <c r="T13" s="349"/>
      <c r="U13" s="352"/>
      <c r="V13" s="1051"/>
      <c r="W13" s="1052"/>
      <c r="X13" s="1052"/>
      <c r="Y13" s="1052"/>
      <c r="Z13" s="1052"/>
      <c r="AA13" s="1052"/>
      <c r="AB13" s="1052"/>
      <c r="AC13" s="1052"/>
      <c r="AD13" s="1052"/>
      <c r="AE13" s="1052"/>
      <c r="AF13" s="1052"/>
      <c r="AG13" s="1052"/>
      <c r="AH13" s="1052"/>
      <c r="AI13" s="1052"/>
      <c r="AJ13" s="1052"/>
      <c r="AK13" s="1052"/>
      <c r="AL13" s="1052"/>
      <c r="AM13" s="1052"/>
      <c r="AN13" s="1064"/>
      <c r="AO13" s="1064"/>
      <c r="AP13" s="1065"/>
    </row>
    <row r="14" spans="2:42" ht="9" customHeight="1">
      <c r="B14" s="350"/>
      <c r="C14" s="349"/>
      <c r="D14" s="349"/>
      <c r="E14" s="349"/>
      <c r="F14" s="349"/>
      <c r="G14" s="349"/>
      <c r="H14" s="349"/>
      <c r="I14" s="349"/>
      <c r="J14" s="349"/>
      <c r="K14" s="349"/>
      <c r="L14" s="349"/>
      <c r="M14" s="349"/>
      <c r="N14" s="349"/>
      <c r="O14" s="349"/>
      <c r="P14" s="349"/>
      <c r="Q14" s="349"/>
      <c r="R14" s="349"/>
      <c r="S14" s="349"/>
      <c r="T14" s="349"/>
      <c r="U14" s="352"/>
      <c r="V14" s="1049" t="str">
        <f>IF(V11&lt;&gt;" ",VLOOKUP(V11,$F$40:$H$70,2)," ")</f>
        <v xml:space="preserve"> </v>
      </c>
      <c r="W14" s="1050"/>
      <c r="X14" s="1050"/>
      <c r="Y14" s="1050" t="str">
        <f>IF(Y11&lt;&gt;" ",VLOOKUP(Y11,$F$40:$H$70,2)," ")</f>
        <v xml:space="preserve"> </v>
      </c>
      <c r="Z14" s="1050"/>
      <c r="AA14" s="1050"/>
      <c r="AB14" s="1050" t="str">
        <f>IF(AB11&lt;&gt;" ",VLOOKUP(AB11,$F$40:$H$70,2)," ")</f>
        <v xml:space="preserve"> </v>
      </c>
      <c r="AC14" s="1050"/>
      <c r="AD14" s="1050"/>
      <c r="AE14" s="1050" t="str">
        <f>IF(AE11&lt;&gt;" ",VLOOKUP(AE11,$F$40:$H$70,2)," ")</f>
        <v xml:space="preserve"> </v>
      </c>
      <c r="AF14" s="1050"/>
      <c r="AG14" s="1050"/>
      <c r="AH14" s="1050" t="str">
        <f>IF(AH11&lt;&gt;" ",VLOOKUP(AH11,$F$40:$H$70,2)," ")</f>
        <v xml:space="preserve"> </v>
      </c>
      <c r="AI14" s="1050"/>
      <c r="AJ14" s="1050"/>
      <c r="AK14" s="1050" t="str">
        <f>IF(AK11&lt;&gt;" ",VLOOKUP(AK11,$F$40:$H$70,2)," ")</f>
        <v xml:space="preserve"> </v>
      </c>
      <c r="AL14" s="1050"/>
      <c r="AM14" s="1050"/>
      <c r="AN14" s="1050" t="str">
        <f>IF(AN11&lt;&gt;" ",VLOOKUP(AN11,$F$40:$H$70,2)," ")</f>
        <v>Verge Cinta</v>
      </c>
      <c r="AO14" s="1050"/>
      <c r="AP14" s="1066"/>
    </row>
    <row r="15" spans="2:42" ht="9" customHeight="1">
      <c r="B15" s="350"/>
      <c r="C15" s="349"/>
      <c r="D15" s="349"/>
      <c r="E15" s="349"/>
      <c r="F15" s="349"/>
      <c r="G15" s="349"/>
      <c r="H15" s="349"/>
      <c r="I15" s="349"/>
      <c r="J15" s="349"/>
      <c r="K15" s="349"/>
      <c r="L15" s="349"/>
      <c r="M15" s="349"/>
      <c r="N15" s="349"/>
      <c r="O15" s="349"/>
      <c r="P15" s="349"/>
      <c r="Q15" s="349"/>
      <c r="R15" s="349"/>
      <c r="S15" s="349"/>
      <c r="T15" s="349"/>
      <c r="U15" s="352"/>
      <c r="V15" s="1051">
        <f>año!C25</f>
        <v>2</v>
      </c>
      <c r="W15" s="1052"/>
      <c r="X15" s="1052"/>
      <c r="Y15" s="1052">
        <f>año!D25</f>
        <v>3</v>
      </c>
      <c r="Z15" s="1052"/>
      <c r="AA15" s="1052"/>
      <c r="AB15" s="1052">
        <f>año!E25</f>
        <v>4</v>
      </c>
      <c r="AC15" s="1052"/>
      <c r="AD15" s="1052"/>
      <c r="AE15" s="1052">
        <f>año!F25</f>
        <v>5</v>
      </c>
      <c r="AF15" s="1052"/>
      <c r="AG15" s="1052"/>
      <c r="AH15" s="1110">
        <f>año!G25</f>
        <v>6</v>
      </c>
      <c r="AI15" s="1110"/>
      <c r="AJ15" s="1110"/>
      <c r="AK15" s="1110">
        <f>año!H25</f>
        <v>7</v>
      </c>
      <c r="AL15" s="1110"/>
      <c r="AM15" s="1110"/>
      <c r="AN15" s="1111">
        <f>año!I25</f>
        <v>8</v>
      </c>
      <c r="AO15" s="1112"/>
      <c r="AP15" s="1113"/>
    </row>
    <row r="16" spans="2:42" ht="9" customHeight="1">
      <c r="B16" s="350"/>
      <c r="C16" s="349"/>
      <c r="D16" s="349"/>
      <c r="E16" s="349"/>
      <c r="F16" s="349"/>
      <c r="G16" s="349"/>
      <c r="H16" s="349"/>
      <c r="I16" s="349"/>
      <c r="J16" s="349"/>
      <c r="K16" s="349"/>
      <c r="L16" s="349"/>
      <c r="M16" s="349"/>
      <c r="N16" s="349"/>
      <c r="O16" s="349"/>
      <c r="P16" s="349"/>
      <c r="Q16" s="349"/>
      <c r="R16" s="349"/>
      <c r="S16" s="349"/>
      <c r="T16" s="349"/>
      <c r="U16" s="352"/>
      <c r="V16" s="1051"/>
      <c r="W16" s="1052"/>
      <c r="X16" s="1052"/>
      <c r="Y16" s="1052"/>
      <c r="Z16" s="1052"/>
      <c r="AA16" s="1052"/>
      <c r="AB16" s="1052"/>
      <c r="AC16" s="1052"/>
      <c r="AD16" s="1052"/>
      <c r="AE16" s="1052"/>
      <c r="AF16" s="1052"/>
      <c r="AG16" s="1052"/>
      <c r="AH16" s="1110"/>
      <c r="AI16" s="1110"/>
      <c r="AJ16" s="1110"/>
      <c r="AK16" s="1110"/>
      <c r="AL16" s="1110"/>
      <c r="AM16" s="1110"/>
      <c r="AN16" s="1111"/>
      <c r="AO16" s="1112"/>
      <c r="AP16" s="1113"/>
    </row>
    <row r="17" spans="2:42" ht="9" customHeight="1">
      <c r="B17" s="350"/>
      <c r="C17" s="349"/>
      <c r="D17" s="349"/>
      <c r="E17" s="349"/>
      <c r="F17" s="349"/>
      <c r="G17" s="349"/>
      <c r="H17" s="349"/>
      <c r="I17" s="349"/>
      <c r="J17" s="349"/>
      <c r="K17" s="349"/>
      <c r="L17" s="349"/>
      <c r="M17" s="349"/>
      <c r="N17" s="349"/>
      <c r="O17" s="349"/>
      <c r="P17" s="349"/>
      <c r="Q17" s="349"/>
      <c r="R17" s="349"/>
      <c r="S17" s="349"/>
      <c r="T17" s="349"/>
      <c r="U17" s="352"/>
      <c r="V17" s="1051"/>
      <c r="W17" s="1052"/>
      <c r="X17" s="1052"/>
      <c r="Y17" s="1052"/>
      <c r="Z17" s="1052"/>
      <c r="AA17" s="1052"/>
      <c r="AB17" s="1052"/>
      <c r="AC17" s="1052"/>
      <c r="AD17" s="1052"/>
      <c r="AE17" s="1052"/>
      <c r="AF17" s="1052"/>
      <c r="AG17" s="1052"/>
      <c r="AH17" s="1110"/>
      <c r="AI17" s="1110"/>
      <c r="AJ17" s="1110"/>
      <c r="AK17" s="1110"/>
      <c r="AL17" s="1110"/>
      <c r="AM17" s="1110"/>
      <c r="AN17" s="1111"/>
      <c r="AO17" s="1112"/>
      <c r="AP17" s="1113"/>
    </row>
    <row r="18" spans="2:42" ht="9" customHeight="1">
      <c r="B18" s="350"/>
      <c r="C18" s="349"/>
      <c r="D18" s="349"/>
      <c r="E18" s="349"/>
      <c r="F18" s="349"/>
      <c r="G18" s="349"/>
      <c r="H18" s="349"/>
      <c r="I18" s="349"/>
      <c r="J18" s="349"/>
      <c r="K18" s="349"/>
      <c r="L18" s="349"/>
      <c r="M18" s="349"/>
      <c r="N18" s="349"/>
      <c r="O18" s="349"/>
      <c r="P18" s="349"/>
      <c r="Q18" s="349"/>
      <c r="R18" s="349"/>
      <c r="S18" s="349"/>
      <c r="T18" s="349"/>
      <c r="U18" s="352"/>
      <c r="V18" s="1049" t="str">
        <f>IF(V15&lt;&gt;" ",VLOOKUP(V15,$F$40:$H$70,2)," ")</f>
        <v>Dia Ceuta</v>
      </c>
      <c r="W18" s="1050"/>
      <c r="X18" s="1050"/>
      <c r="Y18" s="1050" t="str">
        <f>IF(Y15&lt;&gt;" ",VLOOKUP(Y15,$F$40:$H$70,2)," ")</f>
        <v>Gregorio Magne</v>
      </c>
      <c r="Z18" s="1050"/>
      <c r="AA18" s="1050"/>
      <c r="AB18" s="1050" t="str">
        <f>IF(AB15&lt;&gt;" ",VLOOKUP(AB15,$F$40:$H$70,2)," ")</f>
        <v>Rosalia</v>
      </c>
      <c r="AC18" s="1050"/>
      <c r="AD18" s="1050"/>
      <c r="AE18" s="1050" t="str">
        <f>IF(AE15&lt;&gt;" ",VLOOKUP(AE15,$F$40:$H$70,2)," ")</f>
        <v>Lorenzo Justin.</v>
      </c>
      <c r="AF18" s="1050"/>
      <c r="AG18" s="1050"/>
      <c r="AH18" s="1050" t="str">
        <f>IF(AH15&lt;&gt;" ",VLOOKUP(AH15,$F$40:$H$70,2)," ")</f>
        <v>Zacarías</v>
      </c>
      <c r="AI18" s="1050"/>
      <c r="AJ18" s="1050"/>
      <c r="AK18" s="1050" t="str">
        <f>IF(AK15&lt;&gt;" ",VLOOKUP(AK15,$F$40:$H$70,2)," ")</f>
        <v>Regina</v>
      </c>
      <c r="AL18" s="1050"/>
      <c r="AM18" s="1050"/>
      <c r="AN18" s="1050" t="str">
        <f>IF(AN15&lt;&gt;" ",VLOOKUP(AN15,$F$40:$H$70,2)," ")</f>
        <v>Verge l'Avellà</v>
      </c>
      <c r="AO18" s="1050"/>
      <c r="AP18" s="1066"/>
    </row>
    <row r="19" spans="2:42" ht="9" customHeight="1">
      <c r="B19" s="350"/>
      <c r="C19" s="349"/>
      <c r="D19" s="349"/>
      <c r="E19" s="349"/>
      <c r="F19" s="349"/>
      <c r="G19" s="349"/>
      <c r="H19" s="349"/>
      <c r="I19" s="349"/>
      <c r="J19" s="349"/>
      <c r="K19" s="349"/>
      <c r="L19" s="349"/>
      <c r="M19" s="349"/>
      <c r="N19" s="349"/>
      <c r="O19" s="349"/>
      <c r="P19" s="349"/>
      <c r="Q19" s="349"/>
      <c r="R19" s="349"/>
      <c r="S19" s="349"/>
      <c r="T19" s="349"/>
      <c r="U19" s="352"/>
      <c r="V19" s="1116">
        <f>año!C26</f>
        <v>9</v>
      </c>
      <c r="W19" s="1117"/>
      <c r="X19" s="1117"/>
      <c r="Y19" s="1052">
        <f>año!D26</f>
        <v>10</v>
      </c>
      <c r="Z19" s="1052"/>
      <c r="AA19" s="1052"/>
      <c r="AB19" s="1052">
        <f>año!E26</f>
        <v>11</v>
      </c>
      <c r="AC19" s="1052"/>
      <c r="AD19" s="1052"/>
      <c r="AE19" s="1052">
        <f>año!F26</f>
        <v>12</v>
      </c>
      <c r="AF19" s="1052"/>
      <c r="AG19" s="1052"/>
      <c r="AH19" s="1052">
        <f>año!G26</f>
        <v>13</v>
      </c>
      <c r="AI19" s="1052"/>
      <c r="AJ19" s="1052"/>
      <c r="AK19" s="1052">
        <f>año!H26</f>
        <v>14</v>
      </c>
      <c r="AL19" s="1052"/>
      <c r="AM19" s="1052"/>
      <c r="AN19" s="1064">
        <f>año!I26</f>
        <v>15</v>
      </c>
      <c r="AO19" s="1064"/>
      <c r="AP19" s="1065"/>
    </row>
    <row r="20" spans="2:42" ht="9" customHeight="1">
      <c r="B20" s="350"/>
      <c r="C20" s="349"/>
      <c r="D20" s="349"/>
      <c r="E20" s="349"/>
      <c r="F20" s="349"/>
      <c r="G20" s="349"/>
      <c r="H20" s="349"/>
      <c r="I20" s="349"/>
      <c r="J20" s="349"/>
      <c r="K20" s="349"/>
      <c r="L20" s="349"/>
      <c r="M20" s="349"/>
      <c r="N20" s="349"/>
      <c r="O20" s="349"/>
      <c r="P20" s="349"/>
      <c r="Q20" s="349"/>
      <c r="R20" s="349"/>
      <c r="S20" s="349"/>
      <c r="T20" s="349"/>
      <c r="U20" s="352"/>
      <c r="V20" s="1116"/>
      <c r="W20" s="1117"/>
      <c r="X20" s="1117"/>
      <c r="Y20" s="1052"/>
      <c r="Z20" s="1052"/>
      <c r="AA20" s="1052"/>
      <c r="AB20" s="1052"/>
      <c r="AC20" s="1052"/>
      <c r="AD20" s="1052"/>
      <c r="AE20" s="1052"/>
      <c r="AF20" s="1052"/>
      <c r="AG20" s="1052"/>
      <c r="AH20" s="1052"/>
      <c r="AI20" s="1052"/>
      <c r="AJ20" s="1052"/>
      <c r="AK20" s="1052"/>
      <c r="AL20" s="1052"/>
      <c r="AM20" s="1052"/>
      <c r="AN20" s="1064"/>
      <c r="AO20" s="1064"/>
      <c r="AP20" s="1065"/>
    </row>
    <row r="21" spans="2:42" ht="9" customHeight="1">
      <c r="B21" s="350"/>
      <c r="C21" s="349"/>
      <c r="D21" s="349"/>
      <c r="E21" s="349"/>
      <c r="F21" s="349"/>
      <c r="G21" s="349"/>
      <c r="H21" s="349"/>
      <c r="I21" s="349"/>
      <c r="J21" s="349"/>
      <c r="K21" s="349"/>
      <c r="L21" s="349"/>
      <c r="M21" s="349"/>
      <c r="N21" s="349"/>
      <c r="O21" s="349"/>
      <c r="P21" s="349"/>
      <c r="Q21" s="349"/>
      <c r="R21" s="349"/>
      <c r="S21" s="349"/>
      <c r="T21" s="349"/>
      <c r="U21" s="352"/>
      <c r="V21" s="1116"/>
      <c r="W21" s="1117"/>
      <c r="X21" s="1117"/>
      <c r="Y21" s="1052"/>
      <c r="Z21" s="1052"/>
      <c r="AA21" s="1052"/>
      <c r="AB21" s="1052"/>
      <c r="AC21" s="1052"/>
      <c r="AD21" s="1052"/>
      <c r="AE21" s="1052"/>
      <c r="AF21" s="1052"/>
      <c r="AG21" s="1052"/>
      <c r="AH21" s="1052"/>
      <c r="AI21" s="1052"/>
      <c r="AJ21" s="1052"/>
      <c r="AK21" s="1052"/>
      <c r="AL21" s="1052"/>
      <c r="AM21" s="1052"/>
      <c r="AN21" s="1064"/>
      <c r="AO21" s="1064"/>
      <c r="AP21" s="1065"/>
    </row>
    <row r="22" spans="2:42" ht="9" customHeight="1">
      <c r="B22" s="350"/>
      <c r="C22" s="349"/>
      <c r="D22" s="349"/>
      <c r="E22" s="349"/>
      <c r="F22" s="349"/>
      <c r="G22" s="349"/>
      <c r="H22" s="349"/>
      <c r="I22" s="349"/>
      <c r="J22" s="349"/>
      <c r="K22" s="349"/>
      <c r="L22" s="349"/>
      <c r="M22" s="349"/>
      <c r="N22" s="349"/>
      <c r="O22" s="349"/>
      <c r="P22" s="349"/>
      <c r="Q22" s="349"/>
      <c r="R22" s="349"/>
      <c r="S22" s="349"/>
      <c r="T22" s="349"/>
      <c r="U22" s="352"/>
      <c r="V22" s="1049" t="str">
        <f>IF(V19&lt;&gt;" ",VLOOKUP(V19,$F$40:$H$70,2)," ")</f>
        <v>Pedro Claver</v>
      </c>
      <c r="W22" s="1050"/>
      <c r="X22" s="1050"/>
      <c r="Y22" s="1050" t="str">
        <f>IF(Y19&lt;&gt;" ",VLOOKUP(Y19,$F$40:$H$70,2)," ")</f>
        <v>Nicolás Tol.</v>
      </c>
      <c r="Z22" s="1050"/>
      <c r="AA22" s="1050"/>
      <c r="AB22" s="1050" t="str">
        <f>IF(AB19&lt;&gt;" ",VLOOKUP(AB19,$F$40:$H$70,2)," ")</f>
        <v>Catalunya</v>
      </c>
      <c r="AC22" s="1050"/>
      <c r="AD22" s="1050"/>
      <c r="AE22" s="1050" t="str">
        <f>IF(AE19&lt;&gt;" ",VLOOKUP(AE19,$F$40:$H$70,2)," ")</f>
        <v>Nombre Maria</v>
      </c>
      <c r="AF22" s="1050"/>
      <c r="AG22" s="1050"/>
      <c r="AH22" s="1050" t="str">
        <f>IF(AH19&lt;&gt;" ",VLOOKUP(AH19,$F$40:$H$70,2)," ")</f>
        <v>Juan Crisóstomo</v>
      </c>
      <c r="AI22" s="1050"/>
      <c r="AJ22" s="1050"/>
      <c r="AK22" s="1050" t="str">
        <f>IF(AK19&lt;&gt;" ",VLOOKUP(AK19,$F$40:$H$70,2)," ")</f>
        <v>Exaltación Cruz</v>
      </c>
      <c r="AL22" s="1050"/>
      <c r="AM22" s="1050"/>
      <c r="AN22" s="1050" t="str">
        <f>IF(AN19&lt;&gt;" ",VLOOKUP(AN19,$F$40:$H$70,2)," ")</f>
        <v>Dia Cantabria</v>
      </c>
      <c r="AO22" s="1050"/>
      <c r="AP22" s="1066"/>
    </row>
    <row r="23" spans="2:42" ht="9" customHeight="1">
      <c r="B23" s="350"/>
      <c r="C23" s="349"/>
      <c r="D23" s="349"/>
      <c r="E23" s="349"/>
      <c r="F23" s="349"/>
      <c r="G23" s="349"/>
      <c r="H23" s="349"/>
      <c r="I23" s="349"/>
      <c r="J23" s="349"/>
      <c r="K23" s="349"/>
      <c r="L23" s="349"/>
      <c r="M23" s="349"/>
      <c r="N23" s="349"/>
      <c r="O23" s="349"/>
      <c r="P23" s="349"/>
      <c r="Q23" s="349"/>
      <c r="R23" s="349"/>
      <c r="S23" s="349"/>
      <c r="T23" s="349"/>
      <c r="U23" s="352"/>
      <c r="V23" s="1051">
        <f>año!C27</f>
        <v>16</v>
      </c>
      <c r="W23" s="1052"/>
      <c r="X23" s="1052"/>
      <c r="Y23" s="1052">
        <f>año!D27</f>
        <v>17</v>
      </c>
      <c r="Z23" s="1052"/>
      <c r="AA23" s="1052"/>
      <c r="AB23" s="1052">
        <f>año!E27</f>
        <v>18</v>
      </c>
      <c r="AC23" s="1052"/>
      <c r="AD23" s="1052"/>
      <c r="AE23" s="1052">
        <f>año!F27</f>
        <v>19</v>
      </c>
      <c r="AF23" s="1052"/>
      <c r="AG23" s="1052"/>
      <c r="AH23" s="1052">
        <f>año!G27</f>
        <v>20</v>
      </c>
      <c r="AI23" s="1052"/>
      <c r="AJ23" s="1052"/>
      <c r="AK23" s="1052">
        <f>año!H27</f>
        <v>21</v>
      </c>
      <c r="AL23" s="1052"/>
      <c r="AM23" s="1052"/>
      <c r="AN23" s="1064">
        <f>año!I27</f>
        <v>22</v>
      </c>
      <c r="AO23" s="1064"/>
      <c r="AP23" s="1065"/>
    </row>
    <row r="24" spans="2:42" ht="9" customHeight="1">
      <c r="B24" s="350"/>
      <c r="C24" s="349"/>
      <c r="D24" s="349"/>
      <c r="E24" s="349"/>
      <c r="F24" s="349"/>
      <c r="G24" s="349"/>
      <c r="H24" s="349"/>
      <c r="I24" s="349"/>
      <c r="J24" s="349"/>
      <c r="K24" s="349"/>
      <c r="L24" s="349"/>
      <c r="M24" s="349"/>
      <c r="N24" s="349"/>
      <c r="O24" s="349"/>
      <c r="P24" s="349"/>
      <c r="Q24" s="349"/>
      <c r="R24" s="349"/>
      <c r="S24" s="349"/>
      <c r="T24" s="349"/>
      <c r="U24" s="352"/>
      <c r="V24" s="1051"/>
      <c r="W24" s="1052"/>
      <c r="X24" s="1052"/>
      <c r="Y24" s="1052"/>
      <c r="Z24" s="1052"/>
      <c r="AA24" s="1052"/>
      <c r="AB24" s="1052"/>
      <c r="AC24" s="1052"/>
      <c r="AD24" s="1052"/>
      <c r="AE24" s="1052"/>
      <c r="AF24" s="1052"/>
      <c r="AG24" s="1052"/>
      <c r="AH24" s="1052"/>
      <c r="AI24" s="1052"/>
      <c r="AJ24" s="1052"/>
      <c r="AK24" s="1052"/>
      <c r="AL24" s="1052"/>
      <c r="AM24" s="1052"/>
      <c r="AN24" s="1064"/>
      <c r="AO24" s="1064"/>
      <c r="AP24" s="1065"/>
    </row>
    <row r="25" spans="2:42" ht="9" customHeight="1">
      <c r="B25" s="350"/>
      <c r="C25" s="349"/>
      <c r="D25" s="349"/>
      <c r="E25" s="349"/>
      <c r="F25" s="349"/>
      <c r="G25" s="349"/>
      <c r="H25" s="349"/>
      <c r="I25" s="349"/>
      <c r="J25" s="349"/>
      <c r="K25" s="349"/>
      <c r="L25" s="349"/>
      <c r="M25" s="349"/>
      <c r="N25" s="349"/>
      <c r="O25" s="349"/>
      <c r="P25" s="349"/>
      <c r="Q25" s="349"/>
      <c r="R25" s="349"/>
      <c r="S25" s="349"/>
      <c r="T25" s="349"/>
      <c r="U25" s="352"/>
      <c r="V25" s="1051"/>
      <c r="W25" s="1052"/>
      <c r="X25" s="1052"/>
      <c r="Y25" s="1052"/>
      <c r="Z25" s="1052"/>
      <c r="AA25" s="1052"/>
      <c r="AB25" s="1052"/>
      <c r="AC25" s="1052"/>
      <c r="AD25" s="1052"/>
      <c r="AE25" s="1052"/>
      <c r="AF25" s="1052"/>
      <c r="AG25" s="1052"/>
      <c r="AH25" s="1052"/>
      <c r="AI25" s="1052"/>
      <c r="AJ25" s="1052"/>
      <c r="AK25" s="1052"/>
      <c r="AL25" s="1052"/>
      <c r="AM25" s="1052"/>
      <c r="AN25" s="1064"/>
      <c r="AO25" s="1064"/>
      <c r="AP25" s="1065"/>
    </row>
    <row r="26" spans="2:42" ht="9" customHeight="1">
      <c r="B26" s="350"/>
      <c r="C26" s="349"/>
      <c r="D26" s="349"/>
      <c r="E26" s="349"/>
      <c r="F26" s="349"/>
      <c r="G26" s="349"/>
      <c r="H26" s="349"/>
      <c r="I26" s="349"/>
      <c r="J26" s="349"/>
      <c r="K26" s="349"/>
      <c r="L26" s="349"/>
      <c r="M26" s="349"/>
      <c r="N26" s="349"/>
      <c r="O26" s="349"/>
      <c r="P26" s="349"/>
      <c r="Q26" s="349"/>
      <c r="R26" s="349"/>
      <c r="S26" s="349"/>
      <c r="T26" s="349"/>
      <c r="U26" s="352"/>
      <c r="V26" s="1049" t="str">
        <f>IF(V23&lt;&gt;" ",VLOOKUP(V23,$F$40:$H$70,2)," ")</f>
        <v>Cornelio</v>
      </c>
      <c r="W26" s="1050"/>
      <c r="X26" s="1050"/>
      <c r="Y26" s="1050" t="str">
        <f>IF(Y23&lt;&gt;" ",VLOOKUP(Y23,$F$40:$H$70,2)," ")</f>
        <v>Dia Melilla</v>
      </c>
      <c r="Z26" s="1050"/>
      <c r="AA26" s="1050"/>
      <c r="AB26" s="1050" t="str">
        <f>IF(AB23&lt;&gt;" ",VLOOKUP(AB23,$F$40:$H$70,2)," ")</f>
        <v>José Cupert.</v>
      </c>
      <c r="AC26" s="1050"/>
      <c r="AD26" s="1050"/>
      <c r="AE26" s="1050" t="str">
        <f>IF(AE23&lt;&gt;" ",VLOOKUP(AE23,$F$40:$H$70,2)," ")</f>
        <v>Jenaro</v>
      </c>
      <c r="AF26" s="1050"/>
      <c r="AG26" s="1050"/>
      <c r="AH26" s="1050" t="str">
        <f>IF(AH23&lt;&gt;" ",VLOOKUP(AH23,$F$40:$H$70,2)," ")</f>
        <v>Amelia</v>
      </c>
      <c r="AI26" s="1050"/>
      <c r="AJ26" s="1050"/>
      <c r="AK26" s="1050" t="str">
        <f>IF(AK23&lt;&gt;" ",VLOOKUP(AK23,$F$40:$H$70,2)," ")</f>
        <v>Mateo</v>
      </c>
      <c r="AL26" s="1050"/>
      <c r="AM26" s="1050"/>
      <c r="AN26" s="1050" t="str">
        <f>IF(AN23&lt;&gt;" ",VLOOKUP(AN23,$F$40:$H$70,2)," ")</f>
        <v>Digna y Emérita</v>
      </c>
      <c r="AO26" s="1050"/>
      <c r="AP26" s="1066"/>
    </row>
    <row r="27" spans="2:42" ht="9" customHeight="1">
      <c r="B27" s="350"/>
      <c r="C27" s="349"/>
      <c r="D27" s="349"/>
      <c r="E27" s="349"/>
      <c r="F27" s="349"/>
      <c r="G27" s="349"/>
      <c r="H27" s="349"/>
      <c r="I27" s="349"/>
      <c r="J27" s="349"/>
      <c r="K27" s="349"/>
      <c r="L27" s="349"/>
      <c r="M27" s="349"/>
      <c r="N27" s="349"/>
      <c r="O27" s="349"/>
      <c r="P27" s="349"/>
      <c r="Q27" s="349"/>
      <c r="R27" s="349"/>
      <c r="S27" s="349"/>
      <c r="T27" s="349"/>
      <c r="U27" s="352"/>
      <c r="V27" s="1051">
        <f>año!C28</f>
        <v>23</v>
      </c>
      <c r="W27" s="1052"/>
      <c r="X27" s="1052"/>
      <c r="Y27" s="1052">
        <f>año!D28</f>
        <v>24</v>
      </c>
      <c r="Z27" s="1052"/>
      <c r="AA27" s="1052"/>
      <c r="AB27" s="1052">
        <f>año!E28</f>
        <v>25</v>
      </c>
      <c r="AC27" s="1052"/>
      <c r="AD27" s="1052"/>
      <c r="AE27" s="1052">
        <f>año!F28</f>
        <v>26</v>
      </c>
      <c r="AF27" s="1052"/>
      <c r="AG27" s="1052"/>
      <c r="AH27" s="1052">
        <f>año!G28</f>
        <v>27</v>
      </c>
      <c r="AI27" s="1052"/>
      <c r="AJ27" s="1052"/>
      <c r="AK27" s="1052">
        <f>año!H28</f>
        <v>28</v>
      </c>
      <c r="AL27" s="1052"/>
      <c r="AM27" s="1052"/>
      <c r="AN27" s="1064">
        <f>año!I28</f>
        <v>29</v>
      </c>
      <c r="AO27" s="1064"/>
      <c r="AP27" s="1065"/>
    </row>
    <row r="28" spans="2:42" ht="9" customHeight="1">
      <c r="B28" s="350"/>
      <c r="C28" s="349"/>
      <c r="D28" s="349"/>
      <c r="E28" s="349"/>
      <c r="F28" s="349"/>
      <c r="G28" s="349"/>
      <c r="H28" s="349"/>
      <c r="I28" s="349"/>
      <c r="J28" s="349"/>
      <c r="K28" s="349"/>
      <c r="L28" s="349"/>
      <c r="M28" s="349"/>
      <c r="N28" s="349"/>
      <c r="O28" s="349"/>
      <c r="P28" s="349"/>
      <c r="Q28" s="349"/>
      <c r="R28" s="349"/>
      <c r="S28" s="349"/>
      <c r="T28" s="349"/>
      <c r="U28" s="352"/>
      <c r="V28" s="1051"/>
      <c r="W28" s="1052"/>
      <c r="X28" s="1052"/>
      <c r="Y28" s="1052"/>
      <c r="Z28" s="1052"/>
      <c r="AA28" s="1052"/>
      <c r="AB28" s="1052"/>
      <c r="AC28" s="1052"/>
      <c r="AD28" s="1052"/>
      <c r="AE28" s="1052"/>
      <c r="AF28" s="1052"/>
      <c r="AG28" s="1052"/>
      <c r="AH28" s="1052"/>
      <c r="AI28" s="1052"/>
      <c r="AJ28" s="1052"/>
      <c r="AK28" s="1052"/>
      <c r="AL28" s="1052"/>
      <c r="AM28" s="1052"/>
      <c r="AN28" s="1064"/>
      <c r="AO28" s="1064"/>
      <c r="AP28" s="1065"/>
    </row>
    <row r="29" spans="2:42" ht="9" customHeight="1">
      <c r="B29" s="350"/>
      <c r="C29" s="349"/>
      <c r="D29" s="349"/>
      <c r="E29" s="349"/>
      <c r="F29" s="349"/>
      <c r="G29" s="349"/>
      <c r="H29" s="349"/>
      <c r="I29" s="349"/>
      <c r="J29" s="349"/>
      <c r="K29" s="349"/>
      <c r="L29" s="349"/>
      <c r="M29" s="349"/>
      <c r="N29" s="349"/>
      <c r="O29" s="349"/>
      <c r="P29" s="349"/>
      <c r="Q29" s="349"/>
      <c r="R29" s="349"/>
      <c r="S29" s="349"/>
      <c r="T29" s="349"/>
      <c r="U29" s="352"/>
      <c r="V29" s="1051"/>
      <c r="W29" s="1052"/>
      <c r="X29" s="1052"/>
      <c r="Y29" s="1052"/>
      <c r="Z29" s="1052"/>
      <c r="AA29" s="1052"/>
      <c r="AB29" s="1052"/>
      <c r="AC29" s="1052"/>
      <c r="AD29" s="1052"/>
      <c r="AE29" s="1052"/>
      <c r="AF29" s="1052"/>
      <c r="AG29" s="1052"/>
      <c r="AH29" s="1052"/>
      <c r="AI29" s="1052"/>
      <c r="AJ29" s="1052"/>
      <c r="AK29" s="1052"/>
      <c r="AL29" s="1052"/>
      <c r="AM29" s="1052"/>
      <c r="AN29" s="1064"/>
      <c r="AO29" s="1064"/>
      <c r="AP29" s="1065"/>
    </row>
    <row r="30" spans="2:42" ht="9" customHeight="1">
      <c r="B30" s="1100" t="s">
        <v>1000</v>
      </c>
      <c r="C30" s="1101"/>
      <c r="D30" s="1101"/>
      <c r="E30" s="1101"/>
      <c r="F30" s="1101"/>
      <c r="G30" s="1101"/>
      <c r="H30" s="1101"/>
      <c r="I30" s="1101"/>
      <c r="J30" s="1101"/>
      <c r="K30" s="1101"/>
      <c r="L30" s="1101"/>
      <c r="M30" s="1101"/>
      <c r="N30" s="1101"/>
      <c r="O30" s="1101"/>
      <c r="P30" s="1101"/>
      <c r="Q30" s="1101"/>
      <c r="R30" s="1101"/>
      <c r="S30" s="1101"/>
      <c r="T30" s="1101"/>
      <c r="U30" s="1102"/>
      <c r="V30" s="1049" t="str">
        <f>IF(V27&lt;&gt;" ",VLOOKUP(V27,$F$40:$H$70,2)," ")</f>
        <v>Tecla</v>
      </c>
      <c r="W30" s="1050"/>
      <c r="X30" s="1050"/>
      <c r="Y30" s="1050" t="str">
        <f>IF(Y27&lt;&gt;" ",VLOOKUP(Y27,$F$40:$H$70,2)," ")</f>
        <v>N.S.Merced</v>
      </c>
      <c r="Z30" s="1050"/>
      <c r="AA30" s="1050"/>
      <c r="AB30" s="1050" t="str">
        <f>IF(AB27&lt;&gt;" ",VLOOKUP(AB27,$F$40:$H$70,2)," ")</f>
        <v>N.S.Fuensanta</v>
      </c>
      <c r="AC30" s="1050"/>
      <c r="AD30" s="1050"/>
      <c r="AE30" s="1050" t="str">
        <f>IF(AE27&lt;&gt;" ",VLOOKUP(AE27,$F$40:$H$70,2)," ")</f>
        <v>Cosme y Damián</v>
      </c>
      <c r="AF30" s="1050"/>
      <c r="AG30" s="1050"/>
      <c r="AH30" s="1050" t="str">
        <f>IF(AH27&lt;&gt;" ",VLOOKUP(AH27,$F$40:$H$70,2)," ")</f>
        <v>Florentino</v>
      </c>
      <c r="AI30" s="1050"/>
      <c r="AJ30" s="1050"/>
      <c r="AK30" s="1050" t="str">
        <f>IF(AK27&lt;&gt;" ",VLOOKUP(AK27,$F$40:$H$70,2)," ")</f>
        <v>Venceslao</v>
      </c>
      <c r="AL30" s="1050"/>
      <c r="AM30" s="1050"/>
      <c r="AN30" s="1050" t="str">
        <f>IF(AN27&lt;&gt;" ",VLOOKUP(AN27,$F$40:$H$70,2)," ")</f>
        <v>S.Arcángeles</v>
      </c>
      <c r="AO30" s="1050"/>
      <c r="AP30" s="1066"/>
    </row>
    <row r="31" spans="2:42" ht="10.5" customHeight="1">
      <c r="B31" s="1100"/>
      <c r="C31" s="1101"/>
      <c r="D31" s="1101"/>
      <c r="E31" s="1101"/>
      <c r="F31" s="1101"/>
      <c r="G31" s="1101"/>
      <c r="H31" s="1101"/>
      <c r="I31" s="1101"/>
      <c r="J31" s="1101"/>
      <c r="K31" s="1101"/>
      <c r="L31" s="1101"/>
      <c r="M31" s="1101"/>
      <c r="N31" s="1101"/>
      <c r="O31" s="1101"/>
      <c r="P31" s="1101"/>
      <c r="Q31" s="1101"/>
      <c r="R31" s="1101"/>
      <c r="S31" s="1101"/>
      <c r="T31" s="1101"/>
      <c r="U31" s="1102"/>
      <c r="V31" s="1051">
        <f>año!C29</f>
        <v>30</v>
      </c>
      <c r="W31" s="1052"/>
      <c r="X31" s="1052"/>
      <c r="Y31" s="1052" t="str">
        <f>año!D29</f>
        <v xml:space="preserve"> </v>
      </c>
      <c r="Z31" s="1052"/>
      <c r="AA31" s="1052"/>
      <c r="AB31" s="1052" t="str">
        <f>año!E29</f>
        <v xml:space="preserve"> </v>
      </c>
      <c r="AC31" s="1052"/>
      <c r="AD31" s="1052"/>
      <c r="AE31" s="189"/>
      <c r="AF31" s="194"/>
      <c r="AG31" s="192"/>
      <c r="AH31" s="194"/>
      <c r="AI31" s="194"/>
      <c r="AJ31" s="192"/>
      <c r="AK31" s="194"/>
      <c r="AL31" s="194"/>
      <c r="AM31" s="192"/>
      <c r="AN31" s="193"/>
      <c r="AO31" s="194"/>
      <c r="AP31" s="192"/>
    </row>
    <row r="32" spans="2:42" ht="10.5" customHeight="1">
      <c r="B32" s="1100"/>
      <c r="C32" s="782"/>
      <c r="D32" s="782"/>
      <c r="E32" s="782"/>
      <c r="F32" s="782"/>
      <c r="G32" s="782"/>
      <c r="H32" s="782"/>
      <c r="I32" s="782"/>
      <c r="J32" s="782"/>
      <c r="K32" s="782"/>
      <c r="L32" s="782"/>
      <c r="M32" s="782"/>
      <c r="N32" s="782"/>
      <c r="O32" s="782"/>
      <c r="P32" s="782"/>
      <c r="Q32" s="782"/>
      <c r="R32" s="782"/>
      <c r="S32" s="782"/>
      <c r="T32" s="782"/>
      <c r="U32" s="1102"/>
      <c r="V32" s="1051"/>
      <c r="W32" s="1052"/>
      <c r="X32" s="1052"/>
      <c r="Y32" s="1052"/>
      <c r="Z32" s="1052"/>
      <c r="AA32" s="1052"/>
      <c r="AB32" s="1052"/>
      <c r="AC32" s="1052"/>
      <c r="AD32" s="1052"/>
      <c r="AE32" s="190"/>
      <c r="AF32" s="194"/>
      <c r="AG32" s="192" t="s">
        <v>247</v>
      </c>
      <c r="AH32" s="194"/>
      <c r="AI32" s="194"/>
      <c r="AJ32" s="199" t="s">
        <v>247</v>
      </c>
      <c r="AK32" s="194"/>
      <c r="AL32" s="194"/>
      <c r="AM32" s="381" t="s">
        <v>247</v>
      </c>
      <c r="AN32" s="194"/>
      <c r="AO32" s="194"/>
      <c r="AP32" s="381" t="s">
        <v>247</v>
      </c>
    </row>
    <row r="33" spans="2:42" ht="10.5" customHeight="1">
      <c r="B33" s="1103"/>
      <c r="C33" s="1104"/>
      <c r="D33" s="1104"/>
      <c r="E33" s="1104"/>
      <c r="F33" s="1104"/>
      <c r="G33" s="1104"/>
      <c r="H33" s="1104"/>
      <c r="I33" s="1104"/>
      <c r="J33" s="1104"/>
      <c r="K33" s="1104"/>
      <c r="L33" s="1104"/>
      <c r="M33" s="1104"/>
      <c r="N33" s="1104"/>
      <c r="O33" s="1104"/>
      <c r="P33" s="1104"/>
      <c r="Q33" s="1104"/>
      <c r="R33" s="1104"/>
      <c r="S33" s="1104"/>
      <c r="T33" s="1104"/>
      <c r="U33" s="1105"/>
      <c r="V33" s="1051"/>
      <c r="W33" s="1052"/>
      <c r="X33" s="1052"/>
      <c r="Y33" s="1052"/>
      <c r="Z33" s="1052"/>
      <c r="AA33" s="1052"/>
      <c r="AB33" s="1052"/>
      <c r="AC33" s="1052"/>
      <c r="AD33" s="1052"/>
      <c r="AE33" s="191"/>
      <c r="AF33" s="1067">
        <f>luna!$O$71</f>
        <v>19</v>
      </c>
      <c r="AG33" s="1068"/>
      <c r="AH33" s="195"/>
      <c r="AI33" s="1120">
        <f>luna!$R$71</f>
        <v>25</v>
      </c>
      <c r="AJ33" s="1115"/>
      <c r="AK33" s="195"/>
      <c r="AL33" s="1120">
        <f>luna!$Q$71</f>
        <v>4</v>
      </c>
      <c r="AM33" s="1115"/>
      <c r="AN33" s="195"/>
      <c r="AO33" s="1114">
        <f>luna!$P$71</f>
        <v>11</v>
      </c>
      <c r="AP33" s="1115"/>
    </row>
    <row r="34" spans="2:42" ht="9" customHeight="1">
      <c r="B34" s="179"/>
      <c r="C34" s="180"/>
      <c r="D34" s="180"/>
      <c r="E34" s="180"/>
      <c r="F34" s="180"/>
      <c r="G34" s="180"/>
      <c r="H34" s="180"/>
      <c r="I34" s="180"/>
      <c r="J34" s="180"/>
      <c r="K34" s="180"/>
      <c r="L34" s="180"/>
      <c r="M34" s="180"/>
      <c r="N34" s="180"/>
      <c r="O34" s="180"/>
      <c r="P34" s="180"/>
      <c r="Q34" s="180"/>
      <c r="R34" s="180"/>
      <c r="S34" s="180"/>
      <c r="T34" s="180"/>
      <c r="U34" s="181"/>
      <c r="V34" s="1118" t="str">
        <f>IF(V31&lt;&gt;" ",VLOOKUP(V31,$F$40:$H$70,2)," ")</f>
        <v>Jerónimo</v>
      </c>
      <c r="W34" s="1119"/>
      <c r="X34" s="1119"/>
      <c r="Y34" s="1050" t="str">
        <f>IF(Y31&lt;&gt;" ",VLOOKUP(Y31,$F$40:$H$70,2)," ")</f>
        <v xml:space="preserve"> </v>
      </c>
      <c r="Z34" s="1050"/>
      <c r="AA34" s="1050"/>
      <c r="AB34" s="182"/>
      <c r="AC34" s="182"/>
      <c r="AD34" s="182"/>
      <c r="AE34" s="1078" t="s">
        <v>597</v>
      </c>
      <c r="AF34" s="1079"/>
      <c r="AG34" s="1080"/>
      <c r="AH34" s="1081" t="s">
        <v>598</v>
      </c>
      <c r="AI34" s="1081"/>
      <c r="AJ34" s="1081"/>
      <c r="AK34" s="1081" t="s">
        <v>599</v>
      </c>
      <c r="AL34" s="1081"/>
      <c r="AM34" s="1081"/>
      <c r="AN34" s="1081" t="s">
        <v>600</v>
      </c>
      <c r="AO34" s="1081"/>
      <c r="AP34" s="1081"/>
    </row>
    <row r="35" spans="2:42" ht="13.8" thickBot="1">
      <c r="B35" s="405">
        <v>15</v>
      </c>
      <c r="C35" s="406" t="s">
        <v>967</v>
      </c>
      <c r="D35" s="163"/>
      <c r="E35" s="163"/>
      <c r="F35" s="163"/>
      <c r="G35" s="163"/>
      <c r="H35" s="163"/>
      <c r="I35" s="163"/>
      <c r="J35" s="618">
        <v>9</v>
      </c>
      <c r="K35" s="406" t="s">
        <v>407</v>
      </c>
      <c r="N35" s="163"/>
      <c r="O35" s="163"/>
      <c r="P35" s="619">
        <v>9</v>
      </c>
      <c r="Q35" s="402" t="s">
        <v>71</v>
      </c>
      <c r="R35" s="403"/>
      <c r="S35" s="403"/>
      <c r="T35" s="703"/>
      <c r="U35" s="703"/>
      <c r="V35" s="408" t="s">
        <v>977</v>
      </c>
      <c r="W35" s="165"/>
      <c r="X35" s="165"/>
      <c r="Y35" s="163"/>
      <c r="Z35" s="163"/>
      <c r="AA35" s="163"/>
      <c r="AB35" s="163"/>
      <c r="AC35" s="163"/>
      <c r="AD35" s="163"/>
      <c r="AE35" s="163"/>
      <c r="AF35" s="163"/>
      <c r="AG35" s="163"/>
      <c r="AH35" s="163"/>
      <c r="AI35" s="163"/>
      <c r="AJ35" s="163"/>
      <c r="AK35" s="163"/>
      <c r="AL35" s="163"/>
      <c r="AM35" s="163"/>
      <c r="AN35" s="163"/>
      <c r="AO35" s="163"/>
      <c r="AP35" s="164"/>
    </row>
    <row r="36" spans="2:42" ht="16.2" thickBot="1">
      <c r="B36" s="616">
        <v>16</v>
      </c>
      <c r="C36" s="408" t="s">
        <v>401</v>
      </c>
      <c r="D36" s="165"/>
      <c r="G36" s="165"/>
      <c r="H36" s="165"/>
      <c r="I36" s="165"/>
      <c r="J36" s="691">
        <f>Y4</f>
        <v>8</v>
      </c>
      <c r="K36" s="412" t="s">
        <v>976</v>
      </c>
      <c r="N36" s="165"/>
      <c r="O36" s="165"/>
      <c r="P36" s="620">
        <v>12</v>
      </c>
      <c r="Q36" s="1121" t="s">
        <v>556</v>
      </c>
      <c r="R36" s="1122"/>
      <c r="S36" s="1122"/>
      <c r="T36" s="1122"/>
      <c r="U36" s="165"/>
      <c r="V36" s="165"/>
      <c r="W36" s="165"/>
      <c r="X36" s="165"/>
      <c r="Y36" s="165"/>
      <c r="Z36" s="165"/>
      <c r="AA36" s="1089" t="s">
        <v>412</v>
      </c>
      <c r="AB36" s="1090"/>
      <c r="AC36" s="1090"/>
      <c r="AD36" s="1090"/>
      <c r="AE36" s="1090"/>
      <c r="AF36" s="1090"/>
      <c r="AG36" s="1091"/>
      <c r="AH36" s="165"/>
      <c r="AI36" s="1092" t="s">
        <v>411</v>
      </c>
      <c r="AJ36" s="1093"/>
      <c r="AK36" s="1093"/>
      <c r="AL36" s="1093"/>
      <c r="AM36" s="1093"/>
      <c r="AN36" s="1093"/>
      <c r="AO36" s="1094"/>
      <c r="AP36" s="166"/>
    </row>
    <row r="37" spans="2:42">
      <c r="B37" s="616">
        <v>17</v>
      </c>
      <c r="C37" s="617" t="s">
        <v>402</v>
      </c>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9"/>
    </row>
    <row r="38" spans="2:42" hidden="1">
      <c r="N38">
        <f>MARZO!M38</f>
        <v>8</v>
      </c>
      <c r="O38">
        <f>MARZO!N38</f>
        <v>4</v>
      </c>
      <c r="P38">
        <f>MARZO!O38</f>
        <v>0</v>
      </c>
      <c r="Q38" t="str">
        <f>MARZO!P38</f>
        <v>Dijous Sant</v>
      </c>
      <c r="R38">
        <f>MARZO!Q38</f>
        <v>0</v>
      </c>
      <c r="U38" s="1106">
        <f>calendario!$H$59</f>
        <v>45431</v>
      </c>
      <c r="V38" s="1106"/>
      <c r="W38" s="1106"/>
      <c r="X38" s="1106"/>
      <c r="AD38">
        <f>FEBRERO!AI38</f>
        <v>31</v>
      </c>
      <c r="AE38">
        <f>FEBRERO!AJ38</f>
        <v>29</v>
      </c>
      <c r="AF38">
        <f>FEBRERO!AK38</f>
        <v>0</v>
      </c>
      <c r="AG38" t="str">
        <f>FEBRERO!AL38</f>
        <v>Pasqua</v>
      </c>
      <c r="AH38">
        <f>FEBRERO!AM38</f>
        <v>0</v>
      </c>
      <c r="AI38">
        <f>FEBRERO!AN38</f>
        <v>0</v>
      </c>
      <c r="AJ38">
        <f>FEBRERO!AO38</f>
        <v>14</v>
      </c>
      <c r="AM38">
        <f>FEBRERO!$AO$38</f>
        <v>14</v>
      </c>
    </row>
    <row r="39" spans="2:42" hidden="1">
      <c r="N39" t="str">
        <f>MARZO!M39</f>
        <v>NO</v>
      </c>
      <c r="O39">
        <f>MARZO!N39</f>
        <v>0</v>
      </c>
      <c r="P39">
        <f>MARZO!O39</f>
        <v>0</v>
      </c>
      <c r="Q39">
        <f>MARZO!P39</f>
        <v>0</v>
      </c>
      <c r="R39">
        <f>MARZO!Q39</f>
        <v>0</v>
      </c>
      <c r="U39" s="32">
        <f>DAY(U38)</f>
        <v>19</v>
      </c>
      <c r="V39" s="32">
        <f>MONTH(U38)</f>
        <v>5</v>
      </c>
      <c r="W39" s="31"/>
      <c r="X39" s="31"/>
      <c r="Y39" s="106">
        <f>AGOSTO!AA38</f>
        <v>8</v>
      </c>
      <c r="AD39" t="str">
        <f>FEBRERO!AI39</f>
        <v>NO</v>
      </c>
      <c r="AE39" t="str">
        <f>FEBRERO!AJ39</f>
        <v/>
      </c>
      <c r="AF39">
        <f>FEBRERO!AK39</f>
        <v>0</v>
      </c>
      <c r="AG39" s="1123">
        <f>FEBRERO!AL39</f>
        <v>45382</v>
      </c>
      <c r="AH39" s="1123"/>
      <c r="AI39">
        <f>FEBRERO!AN39</f>
        <v>0</v>
      </c>
      <c r="AJ39">
        <f>FEBRERO!AO39</f>
        <v>0</v>
      </c>
    </row>
    <row r="40" spans="2:42" ht="14.4" hidden="1">
      <c r="B40" s="334"/>
      <c r="F40" s="175">
        <v>1</v>
      </c>
      <c r="G40" s="175" t="s">
        <v>677</v>
      </c>
      <c r="N40">
        <f>MARZO!M40</f>
        <v>8</v>
      </c>
      <c r="O40">
        <f>MARZO!N40</f>
        <v>0</v>
      </c>
      <c r="P40">
        <f>MARZO!O40</f>
        <v>0</v>
      </c>
      <c r="Q40">
        <f>MARZO!P40</f>
        <v>0</v>
      </c>
      <c r="R40">
        <f>MARZO!Q40</f>
        <v>0</v>
      </c>
      <c r="U40" s="32">
        <f>IF(V39=5,U39,"NO")</f>
        <v>19</v>
      </c>
      <c r="V40" s="32"/>
      <c r="W40" s="30"/>
      <c r="X40" s="30"/>
      <c r="Y40" s="106">
        <f>AGOSTO!AA39</f>
        <v>18</v>
      </c>
    </row>
    <row r="41" spans="2:42" ht="14.4" hidden="1">
      <c r="B41" s="334"/>
      <c r="F41" s="175">
        <v>2</v>
      </c>
      <c r="G41" s="175" t="s">
        <v>534</v>
      </c>
      <c r="N41" t="str">
        <f>MARZO!M41</f>
        <v>NO</v>
      </c>
      <c r="O41">
        <f>MARZO!N41</f>
        <v>0</v>
      </c>
      <c r="P41">
        <f>MARZO!O41</f>
        <v>0</v>
      </c>
      <c r="Q41">
        <f>MARZO!P41</f>
        <v>0</v>
      </c>
      <c r="R41">
        <f>MARZO!Q41</f>
        <v>0</v>
      </c>
      <c r="U41" s="32" t="str">
        <f>IF(V39=6,U39,"NO")</f>
        <v>NO</v>
      </c>
      <c r="V41" s="32"/>
      <c r="W41" s="30"/>
      <c r="X41" s="30"/>
    </row>
    <row r="42" spans="2:42" ht="14.4" hidden="1">
      <c r="B42" s="334"/>
      <c r="F42" s="175">
        <v>3</v>
      </c>
      <c r="G42" s="175" t="s">
        <v>678</v>
      </c>
    </row>
    <row r="43" spans="2:42" ht="14.4" hidden="1">
      <c r="B43" s="334"/>
      <c r="F43" s="175">
        <v>4</v>
      </c>
      <c r="G43" s="175" t="s">
        <v>535</v>
      </c>
    </row>
    <row r="44" spans="2:42" ht="14.4" hidden="1">
      <c r="B44" s="334"/>
      <c r="F44" s="175">
        <v>5</v>
      </c>
      <c r="G44" s="175" t="s">
        <v>679</v>
      </c>
    </row>
    <row r="45" spans="2:42" ht="14.4" hidden="1">
      <c r="B45" s="334"/>
      <c r="F45" s="175">
        <v>6</v>
      </c>
      <c r="G45" s="175" t="s">
        <v>569</v>
      </c>
    </row>
    <row r="46" spans="2:42" ht="14.4" hidden="1">
      <c r="B46" s="334"/>
      <c r="F46" s="175">
        <v>7</v>
      </c>
      <c r="G46" s="175" t="s">
        <v>536</v>
      </c>
    </row>
    <row r="47" spans="2:42" ht="14.4" hidden="1">
      <c r="B47" s="334"/>
      <c r="F47" s="175">
        <v>8</v>
      </c>
      <c r="G47" s="175" t="s">
        <v>730</v>
      </c>
    </row>
    <row r="48" spans="2:42" ht="14.4" hidden="1">
      <c r="B48" s="334"/>
      <c r="F48" s="175">
        <v>9</v>
      </c>
      <c r="G48" s="175" t="s">
        <v>680</v>
      </c>
    </row>
    <row r="49" spans="2:7" ht="14.4" hidden="1">
      <c r="B49" s="334"/>
      <c r="F49" s="175">
        <v>10</v>
      </c>
      <c r="G49" s="175" t="s">
        <v>681</v>
      </c>
    </row>
    <row r="50" spans="2:7" ht="14.4" hidden="1">
      <c r="B50" s="334"/>
      <c r="F50" s="175">
        <v>11</v>
      </c>
      <c r="G50" s="175" t="s">
        <v>537</v>
      </c>
    </row>
    <row r="51" spans="2:7" ht="14.4" hidden="1">
      <c r="B51" s="334"/>
      <c r="F51" s="175">
        <v>12</v>
      </c>
      <c r="G51" s="175" t="s">
        <v>538</v>
      </c>
    </row>
    <row r="52" spans="2:7" ht="14.4" hidden="1">
      <c r="B52" s="334"/>
      <c r="F52" s="175">
        <v>13</v>
      </c>
      <c r="G52" s="215" t="s">
        <v>960</v>
      </c>
    </row>
    <row r="53" spans="2:7" ht="14.4" hidden="1">
      <c r="B53" s="334"/>
      <c r="F53" s="175">
        <v>14</v>
      </c>
      <c r="G53" s="175" t="s">
        <v>539</v>
      </c>
    </row>
    <row r="54" spans="2:7" ht="14.4" hidden="1">
      <c r="B54" s="334"/>
      <c r="F54" s="175">
        <v>15</v>
      </c>
      <c r="G54" s="175" t="s">
        <v>540</v>
      </c>
    </row>
    <row r="55" spans="2:7" ht="14.4" hidden="1">
      <c r="B55" s="334"/>
      <c r="F55" s="175">
        <v>16</v>
      </c>
      <c r="G55" s="175" t="s">
        <v>682</v>
      </c>
    </row>
    <row r="56" spans="2:7" ht="14.4" hidden="1">
      <c r="B56" s="334"/>
      <c r="F56" s="175">
        <v>17</v>
      </c>
      <c r="G56" s="175" t="s">
        <v>541</v>
      </c>
    </row>
    <row r="57" spans="2:7" ht="14.4" hidden="1">
      <c r="B57" s="334"/>
      <c r="F57" s="175">
        <v>18</v>
      </c>
      <c r="G57" s="175" t="s">
        <v>683</v>
      </c>
    </row>
    <row r="58" spans="2:7" ht="14.4" hidden="1">
      <c r="B58" s="334"/>
      <c r="F58" s="175">
        <v>19</v>
      </c>
      <c r="G58" s="175" t="s">
        <v>542</v>
      </c>
    </row>
    <row r="59" spans="2:7" ht="14.4" hidden="1">
      <c r="B59" s="334"/>
      <c r="F59" s="175">
        <v>20</v>
      </c>
      <c r="G59" s="175" t="s">
        <v>417</v>
      </c>
    </row>
    <row r="60" spans="2:7" ht="14.4" hidden="1">
      <c r="B60" s="334"/>
      <c r="F60" s="175">
        <v>21</v>
      </c>
      <c r="G60" s="175" t="s">
        <v>543</v>
      </c>
    </row>
    <row r="61" spans="2:7" ht="14.4" hidden="1">
      <c r="B61" s="334"/>
      <c r="F61" s="175">
        <v>22</v>
      </c>
      <c r="G61" s="175" t="s">
        <v>684</v>
      </c>
    </row>
    <row r="62" spans="2:7" ht="14.4" hidden="1">
      <c r="B62" s="334"/>
      <c r="F62" s="175">
        <v>23</v>
      </c>
      <c r="G62" s="175" t="s">
        <v>544</v>
      </c>
    </row>
    <row r="63" spans="2:7" ht="14.4" hidden="1">
      <c r="B63" s="334"/>
      <c r="F63" s="175">
        <v>24</v>
      </c>
      <c r="G63" s="175" t="s">
        <v>545</v>
      </c>
    </row>
    <row r="64" spans="2:7" ht="14.4" hidden="1">
      <c r="B64" s="334"/>
      <c r="F64" s="175">
        <v>25</v>
      </c>
      <c r="G64" s="175" t="s">
        <v>546</v>
      </c>
    </row>
    <row r="65" spans="2:7" ht="14.4" hidden="1">
      <c r="B65" s="334"/>
      <c r="F65" s="175">
        <v>26</v>
      </c>
      <c r="G65" s="175" t="s">
        <v>685</v>
      </c>
    </row>
    <row r="66" spans="2:7" ht="14.4" hidden="1">
      <c r="B66" s="334"/>
      <c r="F66" s="175">
        <v>27</v>
      </c>
      <c r="G66" s="175" t="s">
        <v>547</v>
      </c>
    </row>
    <row r="67" spans="2:7" ht="14.4" hidden="1">
      <c r="B67" s="334"/>
      <c r="F67" s="175">
        <v>28</v>
      </c>
      <c r="G67" s="175" t="s">
        <v>686</v>
      </c>
    </row>
    <row r="68" spans="2:7" ht="14.4" hidden="1">
      <c r="B68" s="334"/>
      <c r="F68" s="175">
        <v>29</v>
      </c>
      <c r="G68" s="175" t="s">
        <v>548</v>
      </c>
    </row>
    <row r="69" spans="2:7" ht="14.4" hidden="1">
      <c r="B69" s="334"/>
      <c r="F69" s="175">
        <v>30</v>
      </c>
      <c r="G69" s="175" t="s">
        <v>549</v>
      </c>
    </row>
    <row r="70" spans="2:7" hidden="1">
      <c r="F70" s="175">
        <v>31</v>
      </c>
      <c r="G70" s="175"/>
    </row>
  </sheetData>
  <customSheetViews>
    <customSheetView guid="{93FD35E9-1E2C-4BB9-BB5F-2E73C17EC4AF}" scale="115" showGridLines="0" showRowCol="0" outlineSymbols="0" zeroValues="0" hiddenRows="1">
      <selection activeCell="V1" sqref="V1:Z1"/>
      <pageMargins left="0.75" right="0.75" top="1" bottom="1" header="0" footer="0"/>
      <headerFooter alignWithMargins="0"/>
    </customSheetView>
  </customSheetViews>
  <mergeCells count="103">
    <mergeCell ref="Q36:T36"/>
    <mergeCell ref="AG39:AH39"/>
    <mergeCell ref="AH26:AJ26"/>
    <mergeCell ref="AK26:AM26"/>
    <mergeCell ref="AN26:AP26"/>
    <mergeCell ref="AN30:AP30"/>
    <mergeCell ref="AN14:AP14"/>
    <mergeCell ref="AN18:AP18"/>
    <mergeCell ref="AB14:AD14"/>
    <mergeCell ref="AH15:AJ17"/>
    <mergeCell ref="AH19:AJ21"/>
    <mergeCell ref="AH30:AJ30"/>
    <mergeCell ref="AE30:AG30"/>
    <mergeCell ref="AK30:AM30"/>
    <mergeCell ref="AE26:AG26"/>
    <mergeCell ref="AE27:AG29"/>
    <mergeCell ref="AB26:AD26"/>
    <mergeCell ref="AK19:AM21"/>
    <mergeCell ref="AN19:AP21"/>
    <mergeCell ref="AH23:AJ25"/>
    <mergeCell ref="AK22:AM22"/>
    <mergeCell ref="AN22:AP22"/>
    <mergeCell ref="AH22:AJ22"/>
    <mergeCell ref="AK23:AM25"/>
    <mergeCell ref="U38:X38"/>
    <mergeCell ref="AH27:AJ29"/>
    <mergeCell ref="AK27:AM29"/>
    <mergeCell ref="AA36:AG36"/>
    <mergeCell ref="AI36:AO36"/>
    <mergeCell ref="AB27:AD29"/>
    <mergeCell ref="AB30:AD30"/>
    <mergeCell ref="V34:X34"/>
    <mergeCell ref="Y34:AA34"/>
    <mergeCell ref="AN27:AP29"/>
    <mergeCell ref="Y27:AA29"/>
    <mergeCell ref="AN34:AP34"/>
    <mergeCell ref="AE34:AG34"/>
    <mergeCell ref="AH34:AJ34"/>
    <mergeCell ref="AI33:AJ33"/>
    <mergeCell ref="AL33:AM33"/>
    <mergeCell ref="AK34:AM34"/>
    <mergeCell ref="V30:X30"/>
    <mergeCell ref="Y30:AA30"/>
    <mergeCell ref="V27:X29"/>
    <mergeCell ref="V31:X33"/>
    <mergeCell ref="Y31:AA33"/>
    <mergeCell ref="AB31:AD33"/>
    <mergeCell ref="B30:U33"/>
    <mergeCell ref="V19:X21"/>
    <mergeCell ref="Y19:AA21"/>
    <mergeCell ref="AB19:AD21"/>
    <mergeCell ref="V26:X26"/>
    <mergeCell ref="Y26:AA26"/>
    <mergeCell ref="V15:X17"/>
    <mergeCell ref="Y15:AA17"/>
    <mergeCell ref="AB15:AD17"/>
    <mergeCell ref="V10:X10"/>
    <mergeCell ref="Y10:AA10"/>
    <mergeCell ref="V23:X25"/>
    <mergeCell ref="V18:X18"/>
    <mergeCell ref="Y18:AA18"/>
    <mergeCell ref="AB18:AD18"/>
    <mergeCell ref="V22:X22"/>
    <mergeCell ref="AB23:AD25"/>
    <mergeCell ref="AE23:AG25"/>
    <mergeCell ref="Y22:AA22"/>
    <mergeCell ref="AB22:AD22"/>
    <mergeCell ref="AE22:AG22"/>
    <mergeCell ref="Y23:AA25"/>
    <mergeCell ref="AH11:AJ13"/>
    <mergeCell ref="AK11:AM13"/>
    <mergeCell ref="AN11:AP13"/>
    <mergeCell ref="AO33:AP33"/>
    <mergeCell ref="AF33:AG33"/>
    <mergeCell ref="AE19:AG21"/>
    <mergeCell ref="AE18:AG18"/>
    <mergeCell ref="AH18:AJ18"/>
    <mergeCell ref="AK18:AM18"/>
    <mergeCell ref="AN23:AP25"/>
    <mergeCell ref="B1:U3"/>
    <mergeCell ref="V11:X13"/>
    <mergeCell ref="Y11:AA13"/>
    <mergeCell ref="AB11:AD13"/>
    <mergeCell ref="AE11:AG13"/>
    <mergeCell ref="AE15:AG17"/>
    <mergeCell ref="AO1:AP1"/>
    <mergeCell ref="AD2:AH4"/>
    <mergeCell ref="AD5:AH7"/>
    <mergeCell ref="AB10:AD10"/>
    <mergeCell ref="AE10:AG10"/>
    <mergeCell ref="AH10:AJ10"/>
    <mergeCell ref="AK10:AM10"/>
    <mergeCell ref="AN10:AP10"/>
    <mergeCell ref="AJ1:AN1"/>
    <mergeCell ref="AK15:AM17"/>
    <mergeCell ref="AN15:AP17"/>
    <mergeCell ref="V14:X14"/>
    <mergeCell ref="Y14:AA14"/>
    <mergeCell ref="AE14:AG14"/>
    <mergeCell ref="AH14:AJ14"/>
    <mergeCell ref="AK14:AM14"/>
    <mergeCell ref="V1:Z1"/>
    <mergeCell ref="AA1:AB1"/>
  </mergeCells>
  <phoneticPr fontId="24" type="noConversion"/>
  <conditionalFormatting sqref="AK4:AP4 AJ5">
    <cfRule type="cellIs" dxfId="129" priority="3" stopIfTrue="1" operator="equal">
      <formula>9</formula>
    </cfRule>
  </conditionalFormatting>
  <conditionalFormatting sqref="AN4:AP4 AJ5:AM5">
    <cfRule type="cellIs" dxfId="128" priority="5" stopIfTrue="1" operator="equal">
      <formula>12</formula>
    </cfRule>
  </conditionalFormatting>
  <conditionalFormatting sqref="V5:AB5">
    <cfRule type="cellIs" dxfId="127" priority="7" stopIfTrue="1" operator="equal">
      <formula>15</formula>
    </cfRule>
  </conditionalFormatting>
  <conditionalFormatting sqref="V14 Y14 AB14 AE14 AH14 AK14 AN14 V18 Y18 AB18 AE18 AH18 AK18 AN18 V22 Y22 AB22 AE22 AH22 AK22 AN22 V26 Y26 AB26 AE26 AH26 AK26 AN26 V30 Y30 AB30 AE30 AH30 AK30 AN30 V34 Y34">
    <cfRule type="cellIs" dxfId="126" priority="9" stopIfTrue="1" operator="equal">
      <formula>1</formula>
    </cfRule>
    <cfRule type="cellIs" dxfId="125" priority="10" stopIfTrue="1" operator="equal">
      <formula>6</formula>
    </cfRule>
  </conditionalFormatting>
  <conditionalFormatting sqref="V4:AB6">
    <cfRule type="cellIs" dxfId="124" priority="8" stopIfTrue="1" operator="between">
      <formula>$Y$39</formula>
      <formula>$Y$40</formula>
    </cfRule>
  </conditionalFormatting>
  <hyperlinks>
    <hyperlink ref="AD5:AH7" location="año!A1" display="año!A1"/>
    <hyperlink ref="V1:Z1" location="AGOSTO!A1" display="AGOSTO!A1"/>
    <hyperlink ref="AJ1:AN1" location="OCTUBRE!A1" display="OCTUBRE!A1"/>
    <hyperlink ref="AI36:AO36" location="PORTADA!A1" display="IR A PORTADA"/>
    <hyperlink ref="AA36:AG36" location="año!A1" display="IR A AÑO COMPLETO"/>
  </hyperlinks>
  <pageMargins left="0.25" right="0.25" top="0.75" bottom="0.75" header="0.3" footer="0.3"/>
  <pageSetup paperSize="9"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9</vt:i4>
      </vt:variant>
    </vt:vector>
  </HeadingPairs>
  <TitlesOfParts>
    <vt:vector size="30" baseType="lpstr">
      <vt:lpstr>luna</vt:lpstr>
      <vt:lpstr>pascua</vt:lpstr>
      <vt:lpstr>PORTADA</vt:lpstr>
      <vt:lpstr>año</vt:lpstr>
      <vt:lpstr>calendario</vt:lpstr>
      <vt:lpstr>DICIEMBRE</vt:lpstr>
      <vt:lpstr>NOVIEMBRE</vt:lpstr>
      <vt:lpstr>OCTUBRE</vt:lpstr>
      <vt:lpstr>SEPTIEMBRE</vt:lpstr>
      <vt:lpstr>AGOSTO</vt:lpstr>
      <vt:lpstr>JULIO</vt:lpstr>
      <vt:lpstr>JUNIO</vt:lpstr>
      <vt:lpstr>MAYO</vt:lpstr>
      <vt:lpstr>ABRIL</vt:lpstr>
      <vt:lpstr>MARZO</vt:lpstr>
      <vt:lpstr>FEBRERO</vt:lpstr>
      <vt:lpstr>ENERO</vt:lpstr>
      <vt:lpstr>2024-1</vt:lpstr>
      <vt:lpstr>2024-2</vt:lpstr>
      <vt:lpstr>2024-3</vt:lpstr>
      <vt:lpstr>2024-4</vt:lpstr>
      <vt:lpstr>año_elegido</vt:lpstr>
      <vt:lpstr>ABRIL!Área_de_impresión</vt:lpstr>
      <vt:lpstr>año!Área_de_impresión</vt:lpstr>
      <vt:lpstr>calendario!Área_de_impresión</vt:lpstr>
      <vt:lpstr>FEBRERO!Área_de_impresión</vt:lpstr>
      <vt:lpstr>MARZO!Área_de_impresión</vt:lpstr>
      <vt:lpstr>MAYO!Área_de_impresión</vt:lpstr>
      <vt:lpstr>SEPTIEMBRE!Área_de_impresión</vt:lpstr>
      <vt:lpstr>diasnolectivos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CARBO MESEGUER</dc:creator>
  <cp:lastModifiedBy>catimenu@yahoo.es</cp:lastModifiedBy>
  <cp:lastPrinted>2022-12-12T18:55:42Z</cp:lastPrinted>
  <dcterms:created xsi:type="dcterms:W3CDTF">2004-03-16T21:33:39Z</dcterms:created>
  <dcterms:modified xsi:type="dcterms:W3CDTF">2023-12-24T18:29:48Z</dcterms:modified>
</cp:coreProperties>
</file>