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Objects="none" codeName="ThisWorkbook"/>
  <bookViews>
    <workbookView xWindow="36" yWindow="36" windowWidth="18996" windowHeight="9180"/>
  </bookViews>
  <sheets>
    <sheet name="Principal" sheetId="1" r:id="rId1"/>
    <sheet name="calendario" sheetId="17" r:id="rId2"/>
    <sheet name="luna" sheetId="18" state="hidden" r:id="rId3"/>
    <sheet name="Butcher" sheetId="15" r:id="rId4"/>
    <sheet name="GAUSS" sheetId="16" r:id="rId5"/>
    <sheet name="formulas" sheetId="2" r:id="rId6"/>
    <sheet name="JULIAN" sheetId="9" r:id="rId7"/>
    <sheet name="LIVIUS" sheetId="6" r:id="rId8"/>
    <sheet name="Hoja2" sheetId="4" r:id="rId9"/>
    <sheet name="Hoja3" sheetId="8" r:id="rId10"/>
    <sheet name="Hoja4" sheetId="11" r:id="rId11"/>
    <sheet name="Hoja5" sheetId="13" r:id="rId12"/>
  </sheets>
  <calcPr calcId="124519"/>
  <customWorkbookViews>
    <customWorkbookView name="ALEX CARBO MESEGUER - Vista personalizada" guid="{18C1BFE2-8FEC-454E-854E-6DC32F1C628B}" mergeInterval="0" personalView="1" maximized="1" windowWidth="1008" windowHeight="585" activeSheetId="5"/>
  </customWorkbookViews>
</workbook>
</file>

<file path=xl/calcChain.xml><?xml version="1.0" encoding="utf-8"?>
<calcChain xmlns="http://schemas.openxmlformats.org/spreadsheetml/2006/main">
  <c r="C10" i="16"/>
  <c r="B6" i="13"/>
  <c r="B7" s="1"/>
  <c r="B8" s="1"/>
  <c r="B9" s="1"/>
  <c r="B5"/>
  <c r="F5" s="1"/>
  <c r="D4"/>
  <c r="C4"/>
  <c r="G29" i="1"/>
  <c r="G26"/>
  <c r="G17"/>
  <c r="H18"/>
  <c r="F17"/>
  <c r="H31" s="1"/>
  <c r="K3"/>
  <c r="C6" i="13" l="1"/>
  <c r="F7"/>
  <c r="C8"/>
  <c r="E6"/>
  <c r="H6" s="1"/>
  <c r="E8"/>
  <c r="G6"/>
  <c r="C5"/>
  <c r="G8"/>
  <c r="D7"/>
  <c r="G5"/>
  <c r="F9"/>
  <c r="E9"/>
  <c r="B10"/>
  <c r="D9"/>
  <c r="G9"/>
  <c r="C9"/>
  <c r="H9" s="1"/>
  <c r="D8"/>
  <c r="E7"/>
  <c r="F6"/>
  <c r="F8"/>
  <c r="G7"/>
  <c r="C7"/>
  <c r="D6"/>
  <c r="D5"/>
  <c r="E5"/>
  <c r="B84" i="17"/>
  <c r="BI3"/>
  <c r="BI4"/>
  <c r="BI5"/>
  <c r="BI6"/>
  <c r="BI7"/>
  <c r="BI8"/>
  <c r="BI9"/>
  <c r="BI10"/>
  <c r="BI11"/>
  <c r="BI12"/>
  <c r="BI13"/>
  <c r="BI14"/>
  <c r="BI15"/>
  <c r="BI16"/>
  <c r="BI17"/>
  <c r="BI18"/>
  <c r="BI19"/>
  <c r="BI20"/>
  <c r="BI2"/>
  <c r="BD34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A91"/>
  <c r="AA92" s="1"/>
  <c r="D92" s="1"/>
  <c r="D91"/>
  <c r="A91"/>
  <c r="AY106"/>
  <c r="AV100"/>
  <c r="AV99"/>
  <c r="AV98"/>
  <c r="AV97"/>
  <c r="AV96"/>
  <c r="AV95"/>
  <c r="AV94"/>
  <c r="AV93"/>
  <c r="AV92"/>
  <c r="AV91"/>
  <c r="AV90"/>
  <c r="AV89"/>
  <c r="H5" i="13" l="1"/>
  <c r="I5" s="1"/>
  <c r="H8"/>
  <c r="I8" s="1"/>
  <c r="J8" s="1"/>
  <c r="K8" s="1"/>
  <c r="I6"/>
  <c r="J6" s="1"/>
  <c r="K6" s="1"/>
  <c r="I7"/>
  <c r="J7" s="1"/>
  <c r="K7" s="1"/>
  <c r="H7"/>
  <c r="I9"/>
  <c r="J9" s="1"/>
  <c r="K9" s="1"/>
  <c r="B11"/>
  <c r="E10"/>
  <c r="D10"/>
  <c r="C10"/>
  <c r="G10"/>
  <c r="F10"/>
  <c r="J5"/>
  <c r="K5" s="1"/>
  <c r="AA93" i="17"/>
  <c r="B12" i="13" l="1"/>
  <c r="F11"/>
  <c r="E11"/>
  <c r="D11"/>
  <c r="C11"/>
  <c r="G11"/>
  <c r="H10"/>
  <c r="I10" s="1"/>
  <c r="AA94" i="17"/>
  <c r="D93"/>
  <c r="H11" i="13" l="1"/>
  <c r="I11" s="1"/>
  <c r="B13"/>
  <c r="E12"/>
  <c r="D12"/>
  <c r="C12"/>
  <c r="G12"/>
  <c r="F12"/>
  <c r="J10"/>
  <c r="K10" s="1"/>
  <c r="D94" i="17"/>
  <c r="AA95"/>
  <c r="J11" i="13" l="1"/>
  <c r="K11" s="1"/>
  <c r="C13"/>
  <c r="G13"/>
  <c r="B14"/>
  <c r="F13"/>
  <c r="E13"/>
  <c r="D13"/>
  <c r="H12"/>
  <c r="I12" s="1"/>
  <c r="J12" s="1"/>
  <c r="K12" s="1"/>
  <c r="D95" i="17"/>
  <c r="AA96"/>
  <c r="H13" i="13" l="1"/>
  <c r="B15"/>
  <c r="F14"/>
  <c r="E14"/>
  <c r="D14"/>
  <c r="C14"/>
  <c r="G14"/>
  <c r="I13"/>
  <c r="D96" i="17"/>
  <c r="AA97"/>
  <c r="J13" i="13" l="1"/>
  <c r="K13" s="1"/>
  <c r="H14"/>
  <c r="B16"/>
  <c r="C15"/>
  <c r="G15"/>
  <c r="F15"/>
  <c r="E15"/>
  <c r="H15" s="1"/>
  <c r="D15"/>
  <c r="AA98" i="17"/>
  <c r="D97"/>
  <c r="J14" i="13" l="1"/>
  <c r="K14" s="1"/>
  <c r="I14"/>
  <c r="B17"/>
  <c r="F16"/>
  <c r="E16"/>
  <c r="D16"/>
  <c r="G16"/>
  <c r="C16"/>
  <c r="I15"/>
  <c r="J15" s="1"/>
  <c r="K15" s="1"/>
  <c r="D98" i="17"/>
  <c r="AA99"/>
  <c r="B18" i="13" l="1"/>
  <c r="D17"/>
  <c r="C17"/>
  <c r="G17"/>
  <c r="F17"/>
  <c r="E17"/>
  <c r="I16"/>
  <c r="J16" s="1"/>
  <c r="K16" s="1"/>
  <c r="H16"/>
  <c r="D99" i="17"/>
  <c r="AA100"/>
  <c r="H17" i="13" l="1"/>
  <c r="I17" s="1"/>
  <c r="J17" s="1"/>
  <c r="K17" s="1"/>
  <c r="B19"/>
  <c r="F18"/>
  <c r="E18"/>
  <c r="D18"/>
  <c r="G18"/>
  <c r="C18"/>
  <c r="H18" s="1"/>
  <c r="D100" i="17"/>
  <c r="AA101"/>
  <c r="B20" i="13" l="1"/>
  <c r="D19"/>
  <c r="C19"/>
  <c r="G19"/>
  <c r="F19"/>
  <c r="E19"/>
  <c r="I18"/>
  <c r="J18" s="1"/>
  <c r="K18" s="1"/>
  <c r="AA102" i="17"/>
  <c r="D101"/>
  <c r="H19" i="13" l="1"/>
  <c r="B21"/>
  <c r="C20"/>
  <c r="G20"/>
  <c r="F20"/>
  <c r="E20"/>
  <c r="H20" s="1"/>
  <c r="D20"/>
  <c r="I19"/>
  <c r="J19" s="1"/>
  <c r="K19" s="1"/>
  <c r="D102" i="17"/>
  <c r="AA103"/>
  <c r="E21" i="13" l="1"/>
  <c r="D21"/>
  <c r="C21"/>
  <c r="G21"/>
  <c r="F21"/>
  <c r="B22"/>
  <c r="I20"/>
  <c r="J20" s="1"/>
  <c r="K20" s="1"/>
  <c r="D103" i="17"/>
  <c r="AA104"/>
  <c r="H21" i="13" l="1"/>
  <c r="B23"/>
  <c r="C22"/>
  <c r="G22"/>
  <c r="F22"/>
  <c r="E22"/>
  <c r="D22"/>
  <c r="I21"/>
  <c r="J21" s="1"/>
  <c r="K21" s="1"/>
  <c r="D104" i="17"/>
  <c r="AA105"/>
  <c r="B24" i="13" l="1"/>
  <c r="D23"/>
  <c r="C23"/>
  <c r="G23"/>
  <c r="F23"/>
  <c r="E23"/>
  <c r="H22"/>
  <c r="AA106" i="17"/>
  <c r="D105"/>
  <c r="H23" i="13" l="1"/>
  <c r="I23"/>
  <c r="J23" s="1"/>
  <c r="K23" s="1"/>
  <c r="B25"/>
  <c r="F24"/>
  <c r="E24"/>
  <c r="D24"/>
  <c r="G24"/>
  <c r="C24"/>
  <c r="I22"/>
  <c r="J22" s="1"/>
  <c r="K22" s="1"/>
  <c r="D106" i="17"/>
  <c r="AA107"/>
  <c r="D25" i="13" l="1"/>
  <c r="C25"/>
  <c r="G25"/>
  <c r="B26"/>
  <c r="F25"/>
  <c r="E25"/>
  <c r="I24"/>
  <c r="J24" s="1"/>
  <c r="K24" s="1"/>
  <c r="H24"/>
  <c r="D107" i="17"/>
  <c r="AA108"/>
  <c r="H25" i="13" l="1"/>
  <c r="I25" s="1"/>
  <c r="J25" s="1"/>
  <c r="K25" s="1"/>
  <c r="B27"/>
  <c r="C26"/>
  <c r="G26"/>
  <c r="F26"/>
  <c r="E26"/>
  <c r="D26"/>
  <c r="D108" i="17"/>
  <c r="AA109"/>
  <c r="H26" i="13" l="1"/>
  <c r="B28"/>
  <c r="D27"/>
  <c r="C27"/>
  <c r="G27"/>
  <c r="F27"/>
  <c r="E27"/>
  <c r="H27" s="1"/>
  <c r="AA110" i="17"/>
  <c r="D109"/>
  <c r="B29" i="13" l="1"/>
  <c r="C28"/>
  <c r="G28"/>
  <c r="F28"/>
  <c r="E28"/>
  <c r="D28"/>
  <c r="I27"/>
  <c r="J27" s="1"/>
  <c r="K27" s="1"/>
  <c r="J26"/>
  <c r="K26" s="1"/>
  <c r="I26"/>
  <c r="D110" i="17"/>
  <c r="AA111"/>
  <c r="H28" i="13" l="1"/>
  <c r="E29"/>
  <c r="B30"/>
  <c r="D29"/>
  <c r="C29"/>
  <c r="G29"/>
  <c r="F29"/>
  <c r="I28"/>
  <c r="J28" s="1"/>
  <c r="K28" s="1"/>
  <c r="D111" i="17"/>
  <c r="AA112"/>
  <c r="B31" i="13" l="1"/>
  <c r="D30"/>
  <c r="C30"/>
  <c r="G30"/>
  <c r="F30"/>
  <c r="E30"/>
  <c r="I29"/>
  <c r="H29"/>
  <c r="D112" i="17"/>
  <c r="AA113"/>
  <c r="B32" i="13" l="1"/>
  <c r="F31"/>
  <c r="E31"/>
  <c r="D31"/>
  <c r="G31"/>
  <c r="C31"/>
  <c r="H30"/>
  <c r="I30" s="1"/>
  <c r="J29"/>
  <c r="K29" s="1"/>
  <c r="AA114" i="17"/>
  <c r="D113"/>
  <c r="B33" i="13" l="1"/>
  <c r="E32"/>
  <c r="D32"/>
  <c r="C32"/>
  <c r="G32"/>
  <c r="F32"/>
  <c r="J30"/>
  <c r="K30" s="1"/>
  <c r="H31"/>
  <c r="D114" i="17"/>
  <c r="AA115"/>
  <c r="H32" i="13" l="1"/>
  <c r="B34"/>
  <c r="C33"/>
  <c r="G33"/>
  <c r="F33"/>
  <c r="E33"/>
  <c r="D33"/>
  <c r="I32"/>
  <c r="J32" s="1"/>
  <c r="K32" s="1"/>
  <c r="I31"/>
  <c r="J31" s="1"/>
  <c r="K31" s="1"/>
  <c r="D115" i="17"/>
  <c r="AA116"/>
  <c r="H33" i="13" l="1"/>
  <c r="B35"/>
  <c r="E34"/>
  <c r="D34"/>
  <c r="C34"/>
  <c r="G34"/>
  <c r="F34"/>
  <c r="I33"/>
  <c r="J33" s="1"/>
  <c r="K33" s="1"/>
  <c r="D116" i="17"/>
  <c r="AA117"/>
  <c r="B36" i="13" l="1"/>
  <c r="C35"/>
  <c r="G35"/>
  <c r="F35"/>
  <c r="E35"/>
  <c r="D35"/>
  <c r="I34"/>
  <c r="H34"/>
  <c r="AA118" i="17"/>
  <c r="D117"/>
  <c r="H35" i="13" l="1"/>
  <c r="B37"/>
  <c r="F36"/>
  <c r="E36"/>
  <c r="D36"/>
  <c r="C36"/>
  <c r="G36"/>
  <c r="J34"/>
  <c r="K34" s="1"/>
  <c r="I35"/>
  <c r="J35" s="1"/>
  <c r="K35" s="1"/>
  <c r="D118" i="17"/>
  <c r="AA119"/>
  <c r="D37" i="13" l="1"/>
  <c r="C37"/>
  <c r="G37"/>
  <c r="F37"/>
  <c r="B38"/>
  <c r="E37"/>
  <c r="H37" s="1"/>
  <c r="H36"/>
  <c r="I36" s="1"/>
  <c r="J36" s="1"/>
  <c r="K36" s="1"/>
  <c r="D119" i="17"/>
  <c r="AA120"/>
  <c r="I37" i="13" l="1"/>
  <c r="J37" s="1"/>
  <c r="K37" s="1"/>
  <c r="B39"/>
  <c r="F38"/>
  <c r="E38"/>
  <c r="D38"/>
  <c r="G38"/>
  <c r="C38"/>
  <c r="H38" s="1"/>
  <c r="AA121" i="17"/>
  <c r="D120"/>
  <c r="B40" i="13" l="1"/>
  <c r="C39"/>
  <c r="G39"/>
  <c r="F39"/>
  <c r="E39"/>
  <c r="D39"/>
  <c r="J38"/>
  <c r="K38" s="1"/>
  <c r="I38"/>
  <c r="AB90" i="17"/>
  <c r="AB91" s="1"/>
  <c r="D121"/>
  <c r="H39" i="13" l="1"/>
  <c r="B41"/>
  <c r="E40"/>
  <c r="D40"/>
  <c r="C40"/>
  <c r="G40"/>
  <c r="F40"/>
  <c r="I39"/>
  <c r="F91" i="17"/>
  <c r="AB92"/>
  <c r="J39" i="13" l="1"/>
  <c r="K39" s="1"/>
  <c r="C41"/>
  <c r="G41"/>
  <c r="F41"/>
  <c r="B42"/>
  <c r="E41"/>
  <c r="D41"/>
  <c r="I40"/>
  <c r="J40" s="1"/>
  <c r="K40" s="1"/>
  <c r="H40"/>
  <c r="AB93" i="17"/>
  <c r="F92"/>
  <c r="H41" i="13" l="1"/>
  <c r="B43"/>
  <c r="F42"/>
  <c r="E42"/>
  <c r="D42"/>
  <c r="G42"/>
  <c r="C42"/>
  <c r="H42" s="1"/>
  <c r="I41"/>
  <c r="J41" s="1"/>
  <c r="K41" s="1"/>
  <c r="F93" i="17"/>
  <c r="AB94"/>
  <c r="B44" i="13" l="1"/>
  <c r="C43"/>
  <c r="G43"/>
  <c r="F43"/>
  <c r="E43"/>
  <c r="D43"/>
  <c r="I42"/>
  <c r="J42" s="1"/>
  <c r="K42" s="1"/>
  <c r="F94" i="17"/>
  <c r="AB95"/>
  <c r="H43" i="13" l="1"/>
  <c r="B45"/>
  <c r="F44"/>
  <c r="E44"/>
  <c r="D44"/>
  <c r="C44"/>
  <c r="G44"/>
  <c r="J43"/>
  <c r="K43" s="1"/>
  <c r="I43"/>
  <c r="F95" i="17"/>
  <c r="AB96"/>
  <c r="H44" i="13" l="1"/>
  <c r="I44" s="1"/>
  <c r="J44" s="1"/>
  <c r="K44" s="1"/>
  <c r="D45"/>
  <c r="B46"/>
  <c r="C45"/>
  <c r="G45"/>
  <c r="F45"/>
  <c r="E45"/>
  <c r="AB97" i="17"/>
  <c r="F96"/>
  <c r="H45" i="13" l="1"/>
  <c r="B47"/>
  <c r="C46"/>
  <c r="G46"/>
  <c r="F46"/>
  <c r="E46"/>
  <c r="D46"/>
  <c r="J45"/>
  <c r="K45" s="1"/>
  <c r="I45"/>
  <c r="F97" i="17"/>
  <c r="AB98"/>
  <c r="B48" i="13" l="1"/>
  <c r="E47"/>
  <c r="D47"/>
  <c r="C47"/>
  <c r="G47"/>
  <c r="F47"/>
  <c r="H46"/>
  <c r="F98" i="17"/>
  <c r="AB99"/>
  <c r="H47" i="13" l="1"/>
  <c r="I47"/>
  <c r="J47" s="1"/>
  <c r="K47" s="1"/>
  <c r="B49"/>
  <c r="D48"/>
  <c r="C48"/>
  <c r="G48"/>
  <c r="F48"/>
  <c r="E48"/>
  <c r="I46"/>
  <c r="J46" s="1"/>
  <c r="K46" s="1"/>
  <c r="F99" i="17"/>
  <c r="AB100"/>
  <c r="B50" i="13" l="1"/>
  <c r="F49"/>
  <c r="E49"/>
  <c r="D49"/>
  <c r="G49"/>
  <c r="C49"/>
  <c r="I48"/>
  <c r="J48" s="1"/>
  <c r="K48" s="1"/>
  <c r="H48"/>
  <c r="AB101" i="17"/>
  <c r="F100"/>
  <c r="B51" i="13" l="1"/>
  <c r="D50"/>
  <c r="C50"/>
  <c r="G50"/>
  <c r="F50"/>
  <c r="E50"/>
  <c r="I49"/>
  <c r="H49"/>
  <c r="F101" i="17"/>
  <c r="AB102"/>
  <c r="B52" i="13" l="1"/>
  <c r="F51"/>
  <c r="E51"/>
  <c r="D51"/>
  <c r="G51"/>
  <c r="C51"/>
  <c r="H50"/>
  <c r="I50" s="1"/>
  <c r="J49"/>
  <c r="K49" s="1"/>
  <c r="F102" i="17"/>
  <c r="AB103"/>
  <c r="H51" i="13" l="1"/>
  <c r="I51" s="1"/>
  <c r="J51" s="1"/>
  <c r="K51" s="1"/>
  <c r="B53"/>
  <c r="E52"/>
  <c r="D52"/>
  <c r="C52"/>
  <c r="G52"/>
  <c r="F52"/>
  <c r="J50"/>
  <c r="K50" s="1"/>
  <c r="AB104" i="17"/>
  <c r="F103"/>
  <c r="C53" i="13" l="1"/>
  <c r="G53"/>
  <c r="F53"/>
  <c r="E53"/>
  <c r="B54"/>
  <c r="D53"/>
  <c r="I52"/>
  <c r="J52" s="1"/>
  <c r="K52" s="1"/>
  <c r="H52"/>
  <c r="AB105" i="17"/>
  <c r="F104"/>
  <c r="B55" i="13" l="1"/>
  <c r="E54"/>
  <c r="D54"/>
  <c r="C54"/>
  <c r="G54"/>
  <c r="F54"/>
  <c r="H53"/>
  <c r="I53" s="1"/>
  <c r="F105" i="17"/>
  <c r="AB106"/>
  <c r="H54" i="13" l="1"/>
  <c r="B56"/>
  <c r="F55"/>
  <c r="E55"/>
  <c r="D55"/>
  <c r="C55"/>
  <c r="G55"/>
  <c r="J53"/>
  <c r="K53" s="1"/>
  <c r="F106" i="17"/>
  <c r="AB107"/>
  <c r="I54" i="13" l="1"/>
  <c r="J54" s="1"/>
  <c r="K54" s="1"/>
  <c r="H55"/>
  <c r="B57"/>
  <c r="D56"/>
  <c r="C56"/>
  <c r="G56"/>
  <c r="F56"/>
  <c r="E56"/>
  <c r="J55"/>
  <c r="K55" s="1"/>
  <c r="I55"/>
  <c r="F107" i="17"/>
  <c r="AB108"/>
  <c r="H56" i="13" l="1"/>
  <c r="I56" s="1"/>
  <c r="J56" s="1"/>
  <c r="K56" s="1"/>
  <c r="F57"/>
  <c r="E57"/>
  <c r="B58"/>
  <c r="D57"/>
  <c r="G57"/>
  <c r="C57"/>
  <c r="H57" s="1"/>
  <c r="AB109" i="17"/>
  <c r="F108"/>
  <c r="B59" i="13" l="1"/>
  <c r="E58"/>
  <c r="D58"/>
  <c r="C58"/>
  <c r="G58"/>
  <c r="F58"/>
  <c r="I57"/>
  <c r="J57" s="1"/>
  <c r="K57" s="1"/>
  <c r="F109" i="17"/>
  <c r="AB110"/>
  <c r="B60" i="13" l="1"/>
  <c r="F59"/>
  <c r="E59"/>
  <c r="D59"/>
  <c r="G59"/>
  <c r="C59"/>
  <c r="I58"/>
  <c r="H58"/>
  <c r="F110" i="17"/>
  <c r="AB111"/>
  <c r="H59" i="13" l="1"/>
  <c r="B61"/>
  <c r="E60"/>
  <c r="D60"/>
  <c r="C60"/>
  <c r="G60"/>
  <c r="F60"/>
  <c r="J58"/>
  <c r="K58" s="1"/>
  <c r="F111" i="17"/>
  <c r="AB112"/>
  <c r="C61" i="13" l="1"/>
  <c r="G61"/>
  <c r="B62"/>
  <c r="F61"/>
  <c r="E61"/>
  <c r="D61"/>
  <c r="H60"/>
  <c r="I60" s="1"/>
  <c r="J60" s="1"/>
  <c r="K60" s="1"/>
  <c r="J59"/>
  <c r="K59" s="1"/>
  <c r="I59"/>
  <c r="AB113" i="17"/>
  <c r="F112"/>
  <c r="H61" i="13" l="1"/>
  <c r="B63"/>
  <c r="F62"/>
  <c r="E62"/>
  <c r="D62"/>
  <c r="G62"/>
  <c r="C62"/>
  <c r="H62" s="1"/>
  <c r="I61"/>
  <c r="J61" s="1"/>
  <c r="K61" s="1"/>
  <c r="F113" i="17"/>
  <c r="AB114"/>
  <c r="I62" i="13" l="1"/>
  <c r="J62" s="1"/>
  <c r="K62" s="1"/>
  <c r="B64"/>
  <c r="D63"/>
  <c r="C63"/>
  <c r="G63"/>
  <c r="F63"/>
  <c r="E63"/>
  <c r="F114" i="17"/>
  <c r="AB115"/>
  <c r="B65" i="13" l="1"/>
  <c r="C64"/>
  <c r="G64"/>
  <c r="F64"/>
  <c r="E64"/>
  <c r="D64"/>
  <c r="I63"/>
  <c r="J63" s="1"/>
  <c r="K63" s="1"/>
  <c r="H63"/>
  <c r="AB116" i="17"/>
  <c r="F115"/>
  <c r="H64" i="13" l="1"/>
  <c r="B66"/>
  <c r="E65"/>
  <c r="H65" s="1"/>
  <c r="D65"/>
  <c r="C65"/>
  <c r="G65"/>
  <c r="F65"/>
  <c r="I64"/>
  <c r="J64" s="1"/>
  <c r="K64" s="1"/>
  <c r="AB117" i="17"/>
  <c r="F116"/>
  <c r="B67" i="13" l="1"/>
  <c r="C66"/>
  <c r="G66"/>
  <c r="F66"/>
  <c r="E66"/>
  <c r="D66"/>
  <c r="I65"/>
  <c r="J65" s="1"/>
  <c r="K65" s="1"/>
  <c r="F117" i="17"/>
  <c r="AB118"/>
  <c r="B68" i="13" l="1"/>
  <c r="E67"/>
  <c r="D67"/>
  <c r="C67"/>
  <c r="G67"/>
  <c r="F67"/>
  <c r="H66"/>
  <c r="F118" i="17"/>
  <c r="H67" i="13" l="1"/>
  <c r="I67" s="1"/>
  <c r="J67" s="1"/>
  <c r="K67" s="1"/>
  <c r="B69"/>
  <c r="D68"/>
  <c r="C68"/>
  <c r="G68"/>
  <c r="F68"/>
  <c r="E68"/>
  <c r="I66"/>
  <c r="J66" s="1"/>
  <c r="K66" s="1"/>
  <c r="AG126" i="17"/>
  <c r="AH126" s="1"/>
  <c r="Z135"/>
  <c r="Q125"/>
  <c r="AX56"/>
  <c r="AY56" s="1"/>
  <c r="AZ56" s="1"/>
  <c r="BA56" s="1"/>
  <c r="BB56" s="1"/>
  <c r="BC56" s="1"/>
  <c r="T60" i="13"/>
  <c r="T61"/>
  <c r="T62"/>
  <c r="T63"/>
  <c r="T64"/>
  <c r="T65"/>
  <c r="T66"/>
  <c r="T67"/>
  <c r="T68"/>
  <c r="T69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4"/>
  <c r="T43" i="18"/>
  <c r="T44"/>
  <c r="T45"/>
  <c r="T46"/>
  <c r="T47"/>
  <c r="T48"/>
  <c r="T49"/>
  <c r="T50"/>
  <c r="T51"/>
  <c r="T52"/>
  <c r="T53"/>
  <c r="T54"/>
  <c r="T55"/>
  <c r="T56"/>
  <c r="T57"/>
  <c r="T58"/>
  <c r="T59"/>
  <c r="T60"/>
  <c r="T42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23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F69" i="13" l="1"/>
  <c r="E69"/>
  <c r="D69"/>
  <c r="C69"/>
  <c r="B70"/>
  <c r="G69"/>
  <c r="I68"/>
  <c r="J68" s="1"/>
  <c r="K68" s="1"/>
  <c r="H68"/>
  <c r="AG127" i="17"/>
  <c r="S36" i="18"/>
  <c r="S23"/>
  <c r="P16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23"/>
  <c r="E36"/>
  <c r="A64" s="1"/>
  <c r="U60"/>
  <c r="N60"/>
  <c r="P60"/>
  <c r="R59"/>
  <c r="P59"/>
  <c r="Q59"/>
  <c r="S59"/>
  <c r="R58"/>
  <c r="P58"/>
  <c r="Q58"/>
  <c r="S58"/>
  <c r="R57"/>
  <c r="P57"/>
  <c r="Q57"/>
  <c r="S57"/>
  <c r="R56"/>
  <c r="P56"/>
  <c r="Q56"/>
  <c r="S56"/>
  <c r="R55"/>
  <c r="P55"/>
  <c r="Q55"/>
  <c r="S55"/>
  <c r="R54"/>
  <c r="P54"/>
  <c r="Q54"/>
  <c r="S54"/>
  <c r="R53"/>
  <c r="P53"/>
  <c r="Q53"/>
  <c r="S53"/>
  <c r="U52"/>
  <c r="S52"/>
  <c r="P52"/>
  <c r="Q52"/>
  <c r="N52"/>
  <c r="U51"/>
  <c r="S51"/>
  <c r="P51"/>
  <c r="Q51"/>
  <c r="N51"/>
  <c r="U50"/>
  <c r="P50"/>
  <c r="N50"/>
  <c r="U49"/>
  <c r="N49"/>
  <c r="P49"/>
  <c r="U48"/>
  <c r="N48"/>
  <c r="P48"/>
  <c r="U47"/>
  <c r="P47"/>
  <c r="N47"/>
  <c r="U46"/>
  <c r="P46"/>
  <c r="N46"/>
  <c r="U45"/>
  <c r="N45"/>
  <c r="P45"/>
  <c r="U44"/>
  <c r="N44"/>
  <c r="Q44"/>
  <c r="S44"/>
  <c r="P44"/>
  <c r="R44"/>
  <c r="U43"/>
  <c r="N43"/>
  <c r="Q43"/>
  <c r="S43"/>
  <c r="P43"/>
  <c r="R43"/>
  <c r="R42"/>
  <c r="P42"/>
  <c r="Q42"/>
  <c r="S42"/>
  <c r="R41"/>
  <c r="P41"/>
  <c r="Q41"/>
  <c r="S41"/>
  <c r="S40"/>
  <c r="R40"/>
  <c r="P40"/>
  <c r="Q40"/>
  <c r="U39"/>
  <c r="P39"/>
  <c r="N39"/>
  <c r="S38"/>
  <c r="R38"/>
  <c r="P38"/>
  <c r="Q38"/>
  <c r="R37"/>
  <c r="P37"/>
  <c r="Q37"/>
  <c r="S37"/>
  <c r="F37"/>
  <c r="R36"/>
  <c r="Q36"/>
  <c r="P36"/>
  <c r="R35"/>
  <c r="Q35"/>
  <c r="S35"/>
  <c r="P35"/>
  <c r="U34"/>
  <c r="N34"/>
  <c r="P34"/>
  <c r="U33"/>
  <c r="N33"/>
  <c r="P33"/>
  <c r="R33"/>
  <c r="U32"/>
  <c r="N32"/>
  <c r="P32"/>
  <c r="R32"/>
  <c r="U31"/>
  <c r="P31"/>
  <c r="R31"/>
  <c r="N31"/>
  <c r="U30"/>
  <c r="S30"/>
  <c r="Q30"/>
  <c r="P30"/>
  <c r="R30"/>
  <c r="N30"/>
  <c r="U29"/>
  <c r="N29"/>
  <c r="K22"/>
  <c r="Q29"/>
  <c r="S29"/>
  <c r="P29"/>
  <c r="R29"/>
  <c r="U28"/>
  <c r="N28"/>
  <c r="P28"/>
  <c r="R28"/>
  <c r="U27"/>
  <c r="N27"/>
  <c r="P27"/>
  <c r="R27"/>
  <c r="U26"/>
  <c r="N26"/>
  <c r="S26"/>
  <c r="R26"/>
  <c r="Q26"/>
  <c r="P26"/>
  <c r="S25"/>
  <c r="R25"/>
  <c r="Q25"/>
  <c r="P25"/>
  <c r="R24"/>
  <c r="Q24"/>
  <c r="S24"/>
  <c r="P24"/>
  <c r="U23"/>
  <c r="R23"/>
  <c r="Q23"/>
  <c r="P23"/>
  <c r="H22"/>
  <c r="F22"/>
  <c r="G22"/>
  <c r="E22"/>
  <c r="F15"/>
  <c r="G15"/>
  <c r="E15"/>
  <c r="E14"/>
  <c r="Q39"/>
  <c r="S39"/>
  <c r="R39"/>
  <c r="U40"/>
  <c r="N40"/>
  <c r="U54"/>
  <c r="N54"/>
  <c r="U58"/>
  <c r="N58"/>
  <c r="Q60"/>
  <c r="S60"/>
  <c r="R60"/>
  <c r="Q33"/>
  <c r="S33"/>
  <c r="U35"/>
  <c r="N35"/>
  <c r="U38"/>
  <c r="N38"/>
  <c r="Q46"/>
  <c r="S46"/>
  <c r="R46"/>
  <c r="Q48"/>
  <c r="S48"/>
  <c r="R48"/>
  <c r="Q50"/>
  <c r="S50"/>
  <c r="R50"/>
  <c r="U55"/>
  <c r="N55"/>
  <c r="U59"/>
  <c r="N59"/>
  <c r="U36"/>
  <c r="N36"/>
  <c r="Q34"/>
  <c r="S34"/>
  <c r="R34"/>
  <c r="U37"/>
  <c r="N37"/>
  <c r="U42"/>
  <c r="N42"/>
  <c r="U56"/>
  <c r="N56"/>
  <c r="U24"/>
  <c r="N24"/>
  <c r="Q27"/>
  <c r="Q31"/>
  <c r="U41"/>
  <c r="N41"/>
  <c r="Q45"/>
  <c r="S45"/>
  <c r="R45"/>
  <c r="Q47"/>
  <c r="S47"/>
  <c r="R47"/>
  <c r="Q49"/>
  <c r="S49"/>
  <c r="R49"/>
  <c r="U53"/>
  <c r="N53"/>
  <c r="U57"/>
  <c r="N57"/>
  <c r="U25"/>
  <c r="N25"/>
  <c r="Q28"/>
  <c r="S28"/>
  <c r="Q32"/>
  <c r="S32"/>
  <c r="R51"/>
  <c r="R52"/>
  <c r="S27"/>
  <c r="S31"/>
  <c r="Y2" i="17"/>
  <c r="Y1" s="1"/>
  <c r="V4" s="1"/>
  <c r="AU89" s="1"/>
  <c r="W144"/>
  <c r="AA144" s="1"/>
  <c r="AB144" s="1"/>
  <c r="AC144" s="1"/>
  <c r="AD144" s="1"/>
  <c r="AE144" s="1"/>
  <c r="Y144" s="1"/>
  <c r="Z144" s="1"/>
  <c r="Z143"/>
  <c r="AA143" s="1"/>
  <c r="AB143" s="1"/>
  <c r="AC143" s="1"/>
  <c r="AD143" s="1"/>
  <c r="W143"/>
  <c r="AE143" s="1"/>
  <c r="Y143" s="1"/>
  <c r="W142"/>
  <c r="AA142" s="1"/>
  <c r="AB142" s="1"/>
  <c r="AC142" s="1"/>
  <c r="AD142" s="1"/>
  <c r="AE142" s="1"/>
  <c r="Y142" s="1"/>
  <c r="Z142" s="1"/>
  <c r="AE141"/>
  <c r="Y141" s="1"/>
  <c r="Z141" s="1"/>
  <c r="AA141" s="1"/>
  <c r="AB141" s="1"/>
  <c r="AC141" s="1"/>
  <c r="W141"/>
  <c r="AD141" s="1"/>
  <c r="AB140"/>
  <c r="AC140" s="1"/>
  <c r="AD140" s="1"/>
  <c r="AE140" s="1"/>
  <c r="Y140" s="1"/>
  <c r="Z140" s="1"/>
  <c r="W140"/>
  <c r="AA140" s="1"/>
  <c r="W139"/>
  <c r="AC139" s="1"/>
  <c r="AD139" s="1"/>
  <c r="AE139" s="1"/>
  <c r="Y139" s="1"/>
  <c r="Z139" s="1"/>
  <c r="AA139" s="1"/>
  <c r="AB139" s="1"/>
  <c r="W138"/>
  <c r="Z138" s="1"/>
  <c r="AA138" s="1"/>
  <c r="AB138" s="1"/>
  <c r="AC138" s="1"/>
  <c r="AD138" s="1"/>
  <c r="AE138" s="1"/>
  <c r="Y138" s="1"/>
  <c r="AE137"/>
  <c r="Y137" s="1"/>
  <c r="Z137" s="1"/>
  <c r="AA137" s="1"/>
  <c r="AB137" s="1"/>
  <c r="AC137" s="1"/>
  <c r="W137"/>
  <c r="AD137" s="1"/>
  <c r="W136"/>
  <c r="Y136" s="1"/>
  <c r="Z136" s="1"/>
  <c r="AA136" s="1"/>
  <c r="AB136" s="1"/>
  <c r="AC136" s="1"/>
  <c r="AD136" s="1"/>
  <c r="AE136" s="1"/>
  <c r="AD135"/>
  <c r="AE135" s="1"/>
  <c r="AA135"/>
  <c r="AB135" s="1"/>
  <c r="W135"/>
  <c r="AC135" s="1"/>
  <c r="AA134"/>
  <c r="AB134" s="1"/>
  <c r="AC134" s="1"/>
  <c r="AD134" s="1"/>
  <c r="AE134" s="1"/>
  <c r="Y134" s="1"/>
  <c r="W134"/>
  <c r="Z134" s="1"/>
  <c r="W133"/>
  <c r="AB133" s="1"/>
  <c r="AC133" s="1"/>
  <c r="AD133" s="1"/>
  <c r="AE133" s="1"/>
  <c r="Y133" s="1"/>
  <c r="Z133" s="1"/>
  <c r="AA133" s="1"/>
  <c r="W132"/>
  <c r="Y132" s="1"/>
  <c r="Z132" s="1"/>
  <c r="AA132" s="1"/>
  <c r="AB132" s="1"/>
  <c r="AC132" s="1"/>
  <c r="AD132" s="1"/>
  <c r="AE132" s="1"/>
  <c r="W131"/>
  <c r="AB131" s="1"/>
  <c r="AC131" s="1"/>
  <c r="AD131" s="1"/>
  <c r="AE131" s="1"/>
  <c r="Y131" s="1"/>
  <c r="Z131" s="1"/>
  <c r="AA131" s="1"/>
  <c r="W130"/>
  <c r="AE130" s="1"/>
  <c r="Y130" s="1"/>
  <c r="Z130" s="1"/>
  <c r="AA130" s="1"/>
  <c r="AB130" s="1"/>
  <c r="AC130" s="1"/>
  <c r="AD130" s="1"/>
  <c r="W129"/>
  <c r="AB129" s="1"/>
  <c r="AC129" s="1"/>
  <c r="AD129" s="1"/>
  <c r="AE129" s="1"/>
  <c r="Y129" s="1"/>
  <c r="Z129" s="1"/>
  <c r="AA129" s="1"/>
  <c r="W128"/>
  <c r="AD128" s="1"/>
  <c r="AE128" s="1"/>
  <c r="Y128" s="1"/>
  <c r="Z128" s="1"/>
  <c r="AA128" s="1"/>
  <c r="AB128" s="1"/>
  <c r="AC128" s="1"/>
  <c r="W127"/>
  <c r="AA127" s="1"/>
  <c r="AB127" s="1"/>
  <c r="AC127" s="1"/>
  <c r="AD127" s="1"/>
  <c r="AE127" s="1"/>
  <c r="Y127" s="1"/>
  <c r="Z127" s="1"/>
  <c r="W126"/>
  <c r="AE126" s="1"/>
  <c r="Y126" s="1"/>
  <c r="Z126" s="1"/>
  <c r="AA126" s="1"/>
  <c r="AB126" s="1"/>
  <c r="AC126" s="1"/>
  <c r="AD126" s="1"/>
  <c r="BG78"/>
  <c r="AV78"/>
  <c r="AT78"/>
  <c r="BG77"/>
  <c r="AV77"/>
  <c r="AT77"/>
  <c r="BG76"/>
  <c r="AV76"/>
  <c r="AT76"/>
  <c r="BG75"/>
  <c r="AV75"/>
  <c r="AT75"/>
  <c r="BG74"/>
  <c r="AV74"/>
  <c r="AT74"/>
  <c r="BG73"/>
  <c r="AV73"/>
  <c r="AT73"/>
  <c r="BG72"/>
  <c r="AV72"/>
  <c r="AT72"/>
  <c r="BG71"/>
  <c r="AV71"/>
  <c r="AT71"/>
  <c r="BG70"/>
  <c r="AV70"/>
  <c r="AT70"/>
  <c r="BG69"/>
  <c r="AV69"/>
  <c r="AT69"/>
  <c r="BG68"/>
  <c r="AV68"/>
  <c r="AT68"/>
  <c r="BG67"/>
  <c r="AV67"/>
  <c r="AT67"/>
  <c r="BG66"/>
  <c r="AV66"/>
  <c r="AT66"/>
  <c r="BG65"/>
  <c r="AV65"/>
  <c r="AT65"/>
  <c r="AI65"/>
  <c r="BG64"/>
  <c r="AV64"/>
  <c r="AT64"/>
  <c r="BG63"/>
  <c r="AV63"/>
  <c r="AT63"/>
  <c r="BT62"/>
  <c r="BG62"/>
  <c r="AV62"/>
  <c r="AT62"/>
  <c r="BG61"/>
  <c r="AV61"/>
  <c r="AT61"/>
  <c r="BG60"/>
  <c r="AV60"/>
  <c r="AT60"/>
  <c r="AV55"/>
  <c r="AY55" s="1"/>
  <c r="AZ55" s="1"/>
  <c r="BA55" s="1"/>
  <c r="BB55" s="1"/>
  <c r="BC55" s="1"/>
  <c r="AW55" s="1"/>
  <c r="AX55" s="1"/>
  <c r="AV54"/>
  <c r="BA54" s="1"/>
  <c r="BB54" s="1"/>
  <c r="BC54" s="1"/>
  <c r="AW54" s="1"/>
  <c r="AX54" s="1"/>
  <c r="AY54" s="1"/>
  <c r="AZ54" s="1"/>
  <c r="AY53"/>
  <c r="AZ53" s="1"/>
  <c r="BA53" s="1"/>
  <c r="BB53" s="1"/>
  <c r="BC53" s="1"/>
  <c r="AW53" s="1"/>
  <c r="AV53"/>
  <c r="AX53" s="1"/>
  <c r="AV52"/>
  <c r="AZ52" s="1"/>
  <c r="BA52" s="1"/>
  <c r="BB52" s="1"/>
  <c r="BC52" s="1"/>
  <c r="AW52" s="1"/>
  <c r="AX52" s="1"/>
  <c r="AY52" s="1"/>
  <c r="AV51"/>
  <c r="AW51" s="1"/>
  <c r="AX51" s="1"/>
  <c r="AY51" s="1"/>
  <c r="AZ51" s="1"/>
  <c r="BA51" s="1"/>
  <c r="BB51" s="1"/>
  <c r="BC51" s="1"/>
  <c r="AY50"/>
  <c r="AZ50" s="1"/>
  <c r="AV50"/>
  <c r="BA50" s="1"/>
  <c r="BB50" s="1"/>
  <c r="BC50" s="1"/>
  <c r="AW50" s="1"/>
  <c r="AX50" s="1"/>
  <c r="AV49"/>
  <c r="BC49" s="1"/>
  <c r="AW49" s="1"/>
  <c r="AX49" s="1"/>
  <c r="AY49" s="1"/>
  <c r="AZ49" s="1"/>
  <c r="BA49" s="1"/>
  <c r="BB49" s="1"/>
  <c r="AX48"/>
  <c r="AY48" s="1"/>
  <c r="AV48"/>
  <c r="AZ48" s="1"/>
  <c r="BA48" s="1"/>
  <c r="BB48" s="1"/>
  <c r="BC48" s="1"/>
  <c r="AW48" s="1"/>
  <c r="AV47"/>
  <c r="AW47" s="1"/>
  <c r="AX47" s="1"/>
  <c r="AY47" s="1"/>
  <c r="AZ47" s="1"/>
  <c r="BA47" s="1"/>
  <c r="BB47" s="1"/>
  <c r="BC47" s="1"/>
  <c r="AX46"/>
  <c r="AV46"/>
  <c r="AY46" s="1"/>
  <c r="AZ46" s="1"/>
  <c r="BA46" s="1"/>
  <c r="BB46" s="1"/>
  <c r="BC46" s="1"/>
  <c r="AW46" s="1"/>
  <c r="AN46"/>
  <c r="X46"/>
  <c r="W46"/>
  <c r="L46"/>
  <c r="K46"/>
  <c r="AX45"/>
  <c r="AY45" s="1"/>
  <c r="AZ45" s="1"/>
  <c r="BA45" s="1"/>
  <c r="BB45" s="1"/>
  <c r="AV45"/>
  <c r="BC45" s="1"/>
  <c r="Y45"/>
  <c r="M45"/>
  <c r="AX44"/>
  <c r="AY44" s="1"/>
  <c r="AV44"/>
  <c r="AZ44" s="1"/>
  <c r="BA44" s="1"/>
  <c r="BB44" s="1"/>
  <c r="BC44" s="1"/>
  <c r="AW44" s="1"/>
  <c r="BC43"/>
  <c r="AW43" s="1"/>
  <c r="AX43"/>
  <c r="AY43" s="1"/>
  <c r="AZ43" s="1"/>
  <c r="BA43" s="1"/>
  <c r="AV43"/>
  <c r="BB43" s="1"/>
  <c r="AZ42"/>
  <c r="BA42"/>
  <c r="BB42" s="1"/>
  <c r="BC42" s="1"/>
  <c r="AW42" s="1"/>
  <c r="AX42" s="1"/>
  <c r="AV42"/>
  <c r="AY42" s="1"/>
  <c r="AV41"/>
  <c r="BA41" s="1"/>
  <c r="BB41" s="1"/>
  <c r="BC41" s="1"/>
  <c r="AW41" s="1"/>
  <c r="AX41" s="1"/>
  <c r="AY41" s="1"/>
  <c r="AZ41" s="1"/>
  <c r="AV40"/>
  <c r="AX40" s="1"/>
  <c r="AY40" s="1"/>
  <c r="AZ40" s="1"/>
  <c r="BA40" s="1"/>
  <c r="BB40" s="1"/>
  <c r="BC40" s="1"/>
  <c r="AW40" s="1"/>
  <c r="BC39"/>
  <c r="AW39" s="1"/>
  <c r="AX39" s="1"/>
  <c r="AY39" s="1"/>
  <c r="AZ39" s="1"/>
  <c r="BA39" s="1"/>
  <c r="AV39"/>
  <c r="BB39" s="1"/>
  <c r="Y39"/>
  <c r="M39"/>
  <c r="AV38"/>
  <c r="AW38" s="1"/>
  <c r="AX38" s="1"/>
  <c r="AY38" s="1"/>
  <c r="AZ38" s="1"/>
  <c r="BA38" s="1"/>
  <c r="BB38" s="1"/>
  <c r="BC38" s="1"/>
  <c r="BB37"/>
  <c r="BC37" s="1"/>
  <c r="AW37" s="1"/>
  <c r="AX37" s="1"/>
  <c r="AY37" s="1"/>
  <c r="AZ37" s="1"/>
  <c r="AV37"/>
  <c r="BA37" s="1"/>
  <c r="M33"/>
  <c r="BE32"/>
  <c r="BE31"/>
  <c r="BE30"/>
  <c r="BE29"/>
  <c r="BE28"/>
  <c r="BE27"/>
  <c r="Y27"/>
  <c r="M27"/>
  <c r="BE26"/>
  <c r="BE25"/>
  <c r="BE24"/>
  <c r="BE23"/>
  <c r="BE22"/>
  <c r="BE21"/>
  <c r="AS21"/>
  <c r="AS22"/>
  <c r="AS23"/>
  <c r="AS24" s="1"/>
  <c r="AS25" s="1"/>
  <c r="AS26" s="1"/>
  <c r="AS27" s="1"/>
  <c r="AS28" s="1"/>
  <c r="AS29" s="1"/>
  <c r="AS30" s="1"/>
  <c r="AS31" s="1"/>
  <c r="AS32" s="1"/>
  <c r="AQ21"/>
  <c r="AQ22" s="1"/>
  <c r="AQ23" s="1"/>
  <c r="AQ24" s="1"/>
  <c r="AQ25" s="1"/>
  <c r="AQ26" s="1"/>
  <c r="AQ27" s="1"/>
  <c r="AQ28" s="1"/>
  <c r="AQ29" s="1"/>
  <c r="AQ30" s="1"/>
  <c r="AQ31" s="1"/>
  <c r="AQ32" s="1"/>
  <c r="Y21"/>
  <c r="M21"/>
  <c r="J21"/>
  <c r="I21"/>
  <c r="H21"/>
  <c r="G21"/>
  <c r="F21"/>
  <c r="E21"/>
  <c r="D21"/>
  <c r="AC18"/>
  <c r="AC17"/>
  <c r="AU16"/>
  <c r="AC16"/>
  <c r="AC15"/>
  <c r="Y15"/>
  <c r="M15"/>
  <c r="AC14"/>
  <c r="AC13"/>
  <c r="AC12"/>
  <c r="AC11"/>
  <c r="C11"/>
  <c r="C12" s="1"/>
  <c r="C13" s="1"/>
  <c r="C14" s="1"/>
  <c r="AC10"/>
  <c r="AV9"/>
  <c r="AC9"/>
  <c r="AV8"/>
  <c r="AC8"/>
  <c r="AV7"/>
  <c r="AC7"/>
  <c r="AV6"/>
  <c r="AV5"/>
  <c r="AV4"/>
  <c r="Z4"/>
  <c r="Z5" s="1"/>
  <c r="AV3"/>
  <c r="AV2"/>
  <c r="V1"/>
  <c r="H45" i="16"/>
  <c r="H43"/>
  <c r="H42"/>
  <c r="H41"/>
  <c r="H39"/>
  <c r="H38"/>
  <c r="H37"/>
  <c r="H36"/>
  <c r="H35"/>
  <c r="H34"/>
  <c r="E19"/>
  <c r="A1" i="15"/>
  <c r="I4" s="1"/>
  <c r="H22"/>
  <c r="O16"/>
  <c r="R6" i="13"/>
  <c r="R9"/>
  <c r="R12"/>
  <c r="R21"/>
  <c r="R27"/>
  <c r="R35"/>
  <c r="R38"/>
  <c r="R40"/>
  <c r="R42"/>
  <c r="R45"/>
  <c r="R48"/>
  <c r="R51"/>
  <c r="R53"/>
  <c r="R61"/>
  <c r="R66"/>
  <c r="L26" i="6"/>
  <c r="M22"/>
  <c r="L22"/>
  <c r="M21"/>
  <c r="L21"/>
  <c r="M20"/>
  <c r="L20"/>
  <c r="M19"/>
  <c r="L19"/>
  <c r="M18"/>
  <c r="L18"/>
  <c r="M17"/>
  <c r="L17"/>
  <c r="M16"/>
  <c r="L16"/>
  <c r="M15"/>
  <c r="L15"/>
  <c r="M14"/>
  <c r="L14"/>
  <c r="M13"/>
  <c r="L13"/>
  <c r="M12"/>
  <c r="L12"/>
  <c r="M11"/>
  <c r="L11"/>
  <c r="M10"/>
  <c r="L10"/>
  <c r="M9"/>
  <c r="L9"/>
  <c r="M8"/>
  <c r="L8"/>
  <c r="M7"/>
  <c r="L7"/>
  <c r="L6"/>
  <c r="L5"/>
  <c r="L4"/>
  <c r="E4" i="13"/>
  <c r="F4"/>
  <c r="G4"/>
  <c r="A1" i="11"/>
  <c r="U26" s="1"/>
  <c r="Q9"/>
  <c r="Q10"/>
  <c r="Q11"/>
  <c r="Q12"/>
  <c r="Q13"/>
  <c r="Q14"/>
  <c r="Q15"/>
  <c r="A1" i="6"/>
  <c r="D17" s="1"/>
  <c r="C21" s="1"/>
  <c r="D29"/>
  <c r="A1" i="9"/>
  <c r="F3" s="1"/>
  <c r="A1" i="8"/>
  <c r="C3" s="1"/>
  <c r="A1" i="4"/>
  <c r="B7" s="1"/>
  <c r="A1" i="2"/>
  <c r="D1" s="1"/>
  <c r="R2"/>
  <c r="T3"/>
  <c r="U6"/>
  <c r="V6"/>
  <c r="W6"/>
  <c r="P7"/>
  <c r="U7"/>
  <c r="V7"/>
  <c r="W7"/>
  <c r="W8"/>
  <c r="W9"/>
  <c r="W10"/>
  <c r="W11"/>
  <c r="W12"/>
  <c r="AE12"/>
  <c r="W13"/>
  <c r="AE13"/>
  <c r="W14"/>
  <c r="W15"/>
  <c r="W16"/>
  <c r="W17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K9" i="1"/>
  <c r="A125" i="17"/>
  <c r="F10" i="1"/>
  <c r="B13"/>
  <c r="E13"/>
  <c r="K13"/>
  <c r="C30"/>
  <c r="H16"/>
  <c r="O9"/>
  <c r="G20"/>
  <c r="H20"/>
  <c r="O10"/>
  <c r="G21"/>
  <c r="H21"/>
  <c r="O11"/>
  <c r="G22"/>
  <c r="H22"/>
  <c r="O12"/>
  <c r="G23"/>
  <c r="H23"/>
  <c r="O13"/>
  <c r="G24"/>
  <c r="H24"/>
  <c r="O14"/>
  <c r="G25"/>
  <c r="H25"/>
  <c r="H26" s="1"/>
  <c r="O15"/>
  <c r="G27"/>
  <c r="H27"/>
  <c r="G28"/>
  <c r="H28"/>
  <c r="H29" s="1"/>
  <c r="O16"/>
  <c r="O17"/>
  <c r="G30"/>
  <c r="H30"/>
  <c r="O18"/>
  <c r="G32"/>
  <c r="H32"/>
  <c r="B15" i="11" l="1"/>
  <c r="K3"/>
  <c r="K6" s="1"/>
  <c r="D5" i="15"/>
  <c r="R69" i="13"/>
  <c r="I69"/>
  <c r="J69" s="1"/>
  <c r="K69" s="1"/>
  <c r="H69"/>
  <c r="B71"/>
  <c r="D70"/>
  <c r="C70"/>
  <c r="G70"/>
  <c r="F70"/>
  <c r="E70"/>
  <c r="T70"/>
  <c r="R55"/>
  <c r="R33"/>
  <c r="R23"/>
  <c r="R18"/>
  <c r="R16"/>
  <c r="R14"/>
  <c r="R62"/>
  <c r="R64"/>
  <c r="R37"/>
  <c r="R30"/>
  <c r="R11"/>
  <c r="R59"/>
  <c r="R56"/>
  <c r="R29"/>
  <c r="R46"/>
  <c r="R24"/>
  <c r="H4"/>
  <c r="I4" s="1"/>
  <c r="J4" s="1"/>
  <c r="K4" s="1"/>
  <c r="R68"/>
  <c r="R63"/>
  <c r="R60"/>
  <c r="R58"/>
  <c r="R57"/>
  <c r="R50"/>
  <c r="R47"/>
  <c r="R44"/>
  <c r="R39"/>
  <c r="R34"/>
  <c r="R32"/>
  <c r="R26"/>
  <c r="R25"/>
  <c r="R20"/>
  <c r="R13"/>
  <c r="R8"/>
  <c r="R5"/>
  <c r="R67"/>
  <c r="R65"/>
  <c r="R54"/>
  <c r="R52"/>
  <c r="R49"/>
  <c r="R43"/>
  <c r="R41"/>
  <c r="R36"/>
  <c r="R31"/>
  <c r="R28"/>
  <c r="R22"/>
  <c r="R19"/>
  <c r="R17"/>
  <c r="R15"/>
  <c r="R10"/>
  <c r="R7"/>
  <c r="R4"/>
  <c r="AH127" i="17"/>
  <c r="AG128"/>
  <c r="AG129" s="1"/>
  <c r="AG130" s="1"/>
  <c r="AG131" s="1"/>
  <c r="AG132" s="1"/>
  <c r="AG133" s="1"/>
  <c r="AG134" s="1"/>
  <c r="AG135" s="1"/>
  <c r="AG136" s="1"/>
  <c r="AG137" s="1"/>
  <c r="AG138" s="1"/>
  <c r="AG139" s="1"/>
  <c r="AG140" s="1"/>
  <c r="AG141" s="1"/>
  <c r="AG142" s="1"/>
  <c r="AG143" s="1"/>
  <c r="AG144" s="1"/>
  <c r="B20" i="15"/>
  <c r="K4"/>
  <c r="K9" s="1"/>
  <c r="O15"/>
  <c r="Q15" s="1"/>
  <c r="D3"/>
  <c r="D6" s="1"/>
  <c r="D14" s="1"/>
  <c r="I22" s="1"/>
  <c r="D4"/>
  <c r="M3" i="11"/>
  <c r="I3" i="15"/>
  <c r="B40"/>
  <c r="B25"/>
  <c r="B41"/>
  <c r="J3"/>
  <c r="J4"/>
  <c r="K5" s="1"/>
  <c r="K3"/>
  <c r="T125" i="17"/>
  <c r="P138" s="1"/>
  <c r="R22" i="11"/>
  <c r="O29"/>
  <c r="B4" i="2"/>
  <c r="B6" s="1"/>
  <c r="I59"/>
  <c r="I62" s="1"/>
  <c r="I64" s="1"/>
  <c r="F1"/>
  <c r="N8"/>
  <c r="V3" s="1"/>
  <c r="AA1" s="1"/>
  <c r="J14"/>
  <c r="J15" s="1"/>
  <c r="J17" s="1"/>
  <c r="B24"/>
  <c r="B26" s="1"/>
  <c r="J10"/>
  <c r="K11" i="1" s="1"/>
  <c r="E2" i="9"/>
  <c r="D6" s="1"/>
  <c r="D11" s="1"/>
  <c r="E14" s="1"/>
  <c r="M5" i="11"/>
  <c r="J2" i="2"/>
  <c r="H1" i="11"/>
  <c r="F38"/>
  <c r="P1"/>
  <c r="L17"/>
  <c r="O3"/>
  <c r="O27"/>
  <c r="S22"/>
  <c r="K18"/>
  <c r="K19" s="1"/>
  <c r="F33"/>
  <c r="G39"/>
  <c r="G40" s="1"/>
  <c r="G41" s="1"/>
  <c r="G42" s="1"/>
  <c r="C3" i="6"/>
  <c r="C4" s="1"/>
  <c r="C6" s="1"/>
  <c r="R21" i="11"/>
  <c r="B28"/>
  <c r="S21"/>
  <c r="B2"/>
  <c r="B14" s="1"/>
  <c r="F8"/>
  <c r="U2"/>
  <c r="K4"/>
  <c r="K8" s="1"/>
  <c r="F23"/>
  <c r="B8" i="2"/>
  <c r="F5" i="9"/>
  <c r="F4"/>
  <c r="A2"/>
  <c r="Q1" i="11"/>
  <c r="F4" i="8"/>
  <c r="B14" i="2"/>
  <c r="B15" s="1"/>
  <c r="H19" s="1"/>
  <c r="B29" i="11"/>
  <c r="L4"/>
  <c r="K2"/>
  <c r="K16" s="1"/>
  <c r="L16" s="1"/>
  <c r="C27" i="1"/>
  <c r="C2" i="6"/>
  <c r="J2" s="1"/>
  <c r="N24" s="1"/>
  <c r="L9" i="2"/>
  <c r="C4" i="8"/>
  <c r="A2"/>
  <c r="AI22" i="17"/>
  <c r="AI21"/>
  <c r="AU22"/>
  <c r="AV21"/>
  <c r="AW21" s="1"/>
  <c r="AX21" s="1"/>
  <c r="AF3"/>
  <c r="AU21"/>
  <c r="AC19"/>
  <c r="AG6"/>
  <c r="E37" i="18" s="1"/>
  <c r="AU32" i="17"/>
  <c r="AV32"/>
  <c r="AW32" s="1"/>
  <c r="AX32" s="1"/>
  <c r="AU27"/>
  <c r="N62"/>
  <c r="AU25"/>
  <c r="AV28"/>
  <c r="AW28" s="1"/>
  <c r="AX28" s="1"/>
  <c r="V2"/>
  <c r="AD5" s="1"/>
  <c r="Z1"/>
  <c r="AU24"/>
  <c r="U59"/>
  <c r="AV29"/>
  <c r="AW29" s="1"/>
  <c r="AX29" s="1"/>
  <c r="AV22"/>
  <c r="AW22" s="1"/>
  <c r="AX22" s="1"/>
  <c r="AE9"/>
  <c r="AU31"/>
  <c r="AV31"/>
  <c r="AW31" s="1"/>
  <c r="AX31" s="1"/>
  <c r="AU28"/>
  <c r="AV25"/>
  <c r="AW25" s="1"/>
  <c r="AX25" s="1"/>
  <c r="AV24"/>
  <c r="AW24" s="1"/>
  <c r="AX24" s="1"/>
  <c r="AV26"/>
  <c r="AW26" s="1"/>
  <c r="AX26" s="1"/>
  <c r="X6"/>
  <c r="AU29"/>
  <c r="AD4"/>
  <c r="AV30"/>
  <c r="AW30" s="1"/>
  <c r="AX30" s="1"/>
  <c r="AU26"/>
  <c r="AU23"/>
  <c r="AV27"/>
  <c r="AW27" s="1"/>
  <c r="AX27" s="1"/>
  <c r="AV23"/>
  <c r="AW23" s="1"/>
  <c r="AX23" s="1"/>
  <c r="AU30"/>
  <c r="F50" i="16"/>
  <c r="C19"/>
  <c r="B9" i="4"/>
  <c r="B8"/>
  <c r="B15"/>
  <c r="B29" s="1"/>
  <c r="D1"/>
  <c r="B27"/>
  <c r="B28" s="1"/>
  <c r="B6"/>
  <c r="B13" s="1"/>
  <c r="L21" i="18"/>
  <c r="A65"/>
  <c r="A62"/>
  <c r="G35"/>
  <c r="G36" s="1"/>
  <c r="H36" s="1"/>
  <c r="F35"/>
  <c r="W21"/>
  <c r="BQ34" i="17" s="1"/>
  <c r="W2" i="18"/>
  <c r="M80"/>
  <c r="P80" s="1"/>
  <c r="A60"/>
  <c r="B60" s="1"/>
  <c r="M2" i="1" s="1"/>
  <c r="I31" i="16"/>
  <c r="C40" s="1"/>
  <c r="C42" s="1"/>
  <c r="T4" i="2"/>
  <c r="AA23"/>
  <c r="C26" i="6"/>
  <c r="C29" s="1"/>
  <c r="D10" i="16"/>
  <c r="H9" i="2"/>
  <c r="H3"/>
  <c r="J4"/>
  <c r="O4" s="1"/>
  <c r="F2" i="8"/>
  <c r="F3"/>
  <c r="AA22" i="2"/>
  <c r="B16" i="11" l="1"/>
  <c r="B17" s="1"/>
  <c r="B18" s="1"/>
  <c r="B20" s="1"/>
  <c r="B21" s="1"/>
  <c r="B22" s="1"/>
  <c r="K9"/>
  <c r="K5"/>
  <c r="R70" i="13"/>
  <c r="H70"/>
  <c r="I70" s="1"/>
  <c r="B72"/>
  <c r="E71"/>
  <c r="D71"/>
  <c r="C71"/>
  <c r="G71"/>
  <c r="F71"/>
  <c r="T71"/>
  <c r="AH128" i="17"/>
  <c r="K15" i="1"/>
  <c r="R2" i="11"/>
  <c r="S2" s="1"/>
  <c r="J9" i="15"/>
  <c r="I9"/>
  <c r="I5"/>
  <c r="J77" i="2"/>
  <c r="I66"/>
  <c r="I67" s="1"/>
  <c r="J67" s="1"/>
  <c r="M4" i="11"/>
  <c r="N2" s="1"/>
  <c r="N1" s="1"/>
  <c r="O2" s="1"/>
  <c r="L59" i="2"/>
  <c r="B42" i="15"/>
  <c r="D7"/>
  <c r="B13" s="1"/>
  <c r="AH129" i="17"/>
  <c r="AH130"/>
  <c r="J5" i="15"/>
  <c r="AB123" i="17"/>
  <c r="AC123"/>
  <c r="Y123"/>
  <c r="AD123"/>
  <c r="Z123"/>
  <c r="AE123"/>
  <c r="AA123"/>
  <c r="I6" i="15"/>
  <c r="J6"/>
  <c r="I7" s="1"/>
  <c r="G43" i="11"/>
  <c r="G44" s="1"/>
  <c r="B25" i="2"/>
  <c r="B27" s="1"/>
  <c r="B28" s="1"/>
  <c r="J13"/>
  <c r="J29" s="1"/>
  <c r="J55" s="1"/>
  <c r="J71"/>
  <c r="J73" s="1"/>
  <c r="N7"/>
  <c r="V4" s="1"/>
  <c r="X3" s="1"/>
  <c r="AE8" s="1"/>
  <c r="AF8" s="1"/>
  <c r="B30"/>
  <c r="E15" i="1"/>
  <c r="Q3" i="11"/>
  <c r="J16" i="2"/>
  <c r="B9"/>
  <c r="B10" s="1"/>
  <c r="B11" s="1"/>
  <c r="B18" s="1"/>
  <c r="E4"/>
  <c r="F4" s="1"/>
  <c r="B16"/>
  <c r="AA2"/>
  <c r="W2"/>
  <c r="AA11"/>
  <c r="AT34" i="17"/>
  <c r="BD35" s="1"/>
  <c r="Z8" i="2"/>
  <c r="AA3" s="1"/>
  <c r="Q31"/>
  <c r="Q32" s="1"/>
  <c r="Q33" s="1"/>
  <c r="R31"/>
  <c r="R32" s="1"/>
  <c r="AA12"/>
  <c r="X8"/>
  <c r="AD12" s="1"/>
  <c r="K20" i="11"/>
  <c r="C5" i="6"/>
  <c r="C7" s="1"/>
  <c r="C9" s="1"/>
  <c r="C10" s="1"/>
  <c r="C11" s="1"/>
  <c r="C12" s="1"/>
  <c r="D13" s="1"/>
  <c r="B3" i="11"/>
  <c r="B4" s="1"/>
  <c r="B5" s="1"/>
  <c r="B6" s="1"/>
  <c r="F9" i="9"/>
  <c r="F6"/>
  <c r="F8" s="1"/>
  <c r="O4" i="11"/>
  <c r="N4" s="1"/>
  <c r="P4" s="1"/>
  <c r="Q4" s="1"/>
  <c r="B30"/>
  <c r="K7"/>
  <c r="I1"/>
  <c r="M16"/>
  <c r="J25" i="6"/>
  <c r="J28"/>
  <c r="F11" i="8"/>
  <c r="F10"/>
  <c r="K17" i="11"/>
  <c r="G2" i="6"/>
  <c r="B31" i="4"/>
  <c r="B32" s="1"/>
  <c r="AG4" i="17"/>
  <c r="AF5" s="1"/>
  <c r="J22" i="15"/>
  <c r="K22"/>
  <c r="B10" i="4"/>
  <c r="B11" s="1"/>
  <c r="AI23" i="17"/>
  <c r="C5" i="8"/>
  <c r="A66" i="18"/>
  <c r="A68" s="1"/>
  <c r="A67"/>
  <c r="J11" i="4"/>
  <c r="H10"/>
  <c r="F51" i="16"/>
  <c r="F57"/>
  <c r="F59"/>
  <c r="F58"/>
  <c r="F405" i="18"/>
  <c r="L405" s="1"/>
  <c r="F400"/>
  <c r="L400" s="1"/>
  <c r="F229"/>
  <c r="L229" s="1"/>
  <c r="F282"/>
  <c r="L282" s="1"/>
  <c r="F184"/>
  <c r="L184" s="1"/>
  <c r="F73"/>
  <c r="L73" s="1"/>
  <c r="F343"/>
  <c r="L343" s="1"/>
  <c r="F362"/>
  <c r="L362" s="1"/>
  <c r="F344"/>
  <c r="L344" s="1"/>
  <c r="F150"/>
  <c r="L150" s="1"/>
  <c r="F176"/>
  <c r="L176" s="1"/>
  <c r="F65"/>
  <c r="L65" s="1"/>
  <c r="F424"/>
  <c r="L424" s="1"/>
  <c r="F253"/>
  <c r="L253" s="1"/>
  <c r="F347"/>
  <c r="L347" s="1"/>
  <c r="F378"/>
  <c r="L378" s="1"/>
  <c r="F360"/>
  <c r="L360" s="1"/>
  <c r="F158"/>
  <c r="L158" s="1"/>
  <c r="F182"/>
  <c r="L182" s="1"/>
  <c r="F71"/>
  <c r="L71" s="1"/>
  <c r="F428"/>
  <c r="L428" s="1"/>
  <c r="F421"/>
  <c r="L421" s="1"/>
  <c r="F416"/>
  <c r="L416" s="1"/>
  <c r="F245"/>
  <c r="L245" s="1"/>
  <c r="F318"/>
  <c r="L318" s="1"/>
  <c r="F74"/>
  <c r="L74" s="1"/>
  <c r="F110"/>
  <c r="L110" s="1"/>
  <c r="F359"/>
  <c r="L359" s="1"/>
  <c r="F268"/>
  <c r="L268" s="1"/>
  <c r="F183"/>
  <c r="L183" s="1"/>
  <c r="F186"/>
  <c r="L186" s="1"/>
  <c r="F230"/>
  <c r="L230" s="1"/>
  <c r="F89"/>
  <c r="L89" s="1"/>
  <c r="F317"/>
  <c r="L317" s="1"/>
  <c r="F278"/>
  <c r="L278" s="1"/>
  <c r="F271"/>
  <c r="L271" s="1"/>
  <c r="F119"/>
  <c r="L119" s="1"/>
  <c r="F135"/>
  <c r="L135" s="1"/>
  <c r="F393"/>
  <c r="L393" s="1"/>
  <c r="F364"/>
  <c r="L364" s="1"/>
  <c r="F312"/>
  <c r="L312" s="1"/>
  <c r="F160"/>
  <c r="L160" s="1"/>
  <c r="F279"/>
  <c r="L279" s="1"/>
  <c r="F139"/>
  <c r="L139" s="1"/>
  <c r="F398"/>
  <c r="L398" s="1"/>
  <c r="F281"/>
  <c r="L281" s="1"/>
  <c r="F70"/>
  <c r="L70" s="1"/>
  <c r="F394"/>
  <c r="L394" s="1"/>
  <c r="F151"/>
  <c r="L151" s="1"/>
  <c r="F163"/>
  <c r="L163" s="1"/>
  <c r="F358"/>
  <c r="L358" s="1"/>
  <c r="F120"/>
  <c r="L120" s="1"/>
  <c r="F226"/>
  <c r="L226" s="1"/>
  <c r="F109"/>
  <c r="L109" s="1"/>
  <c r="F295"/>
  <c r="L295" s="1"/>
  <c r="F126"/>
  <c r="L126" s="1"/>
  <c r="F367"/>
  <c r="L367" s="1"/>
  <c r="F201"/>
  <c r="L201" s="1"/>
  <c r="F95"/>
  <c r="L95" s="1"/>
  <c r="F64"/>
  <c r="L64" s="1"/>
  <c r="F251"/>
  <c r="L251" s="1"/>
  <c r="F385"/>
  <c r="L385" s="1"/>
  <c r="F197"/>
  <c r="L197" s="1"/>
  <c r="F311"/>
  <c r="L311" s="1"/>
  <c r="F129"/>
  <c r="L129" s="1"/>
  <c r="F302"/>
  <c r="L302" s="1"/>
  <c r="F156"/>
  <c r="L156" s="1"/>
  <c r="F404"/>
  <c r="L404" s="1"/>
  <c r="F69"/>
  <c r="L69" s="1"/>
  <c r="F206"/>
  <c r="L206" s="1"/>
  <c r="F374"/>
  <c r="L374" s="1"/>
  <c r="F324"/>
  <c r="L324" s="1"/>
  <c r="F212"/>
  <c r="L212" s="1"/>
  <c r="F154"/>
  <c r="L154" s="1"/>
  <c r="F66"/>
  <c r="L66" s="1"/>
  <c r="F174"/>
  <c r="L174" s="1"/>
  <c r="F239"/>
  <c r="L239" s="1"/>
  <c r="F82"/>
  <c r="L82" s="1"/>
  <c r="F202"/>
  <c r="L202" s="1"/>
  <c r="F409"/>
  <c r="L409" s="1"/>
  <c r="F111"/>
  <c r="L111" s="1"/>
  <c r="F199"/>
  <c r="L199" s="1"/>
  <c r="F333"/>
  <c r="L333" s="1"/>
  <c r="F210"/>
  <c r="L210" s="1"/>
  <c r="F101"/>
  <c r="L101" s="1"/>
  <c r="F249"/>
  <c r="L249" s="1"/>
  <c r="F241"/>
  <c r="L241" s="1"/>
  <c r="F371"/>
  <c r="L371" s="1"/>
  <c r="F86"/>
  <c r="L86" s="1"/>
  <c r="F272"/>
  <c r="L272" s="1"/>
  <c r="F217"/>
  <c r="L217" s="1"/>
  <c r="F320"/>
  <c r="L320" s="1"/>
  <c r="F414"/>
  <c r="L414" s="1"/>
  <c r="F105"/>
  <c r="L105" s="1"/>
  <c r="F166"/>
  <c r="L166" s="1"/>
  <c r="F422"/>
  <c r="L422" s="1"/>
  <c r="F116"/>
  <c r="L116" s="1"/>
  <c r="F296"/>
  <c r="L296" s="1"/>
  <c r="F149"/>
  <c r="L149" s="1"/>
  <c r="F113"/>
  <c r="L113" s="1"/>
  <c r="F221"/>
  <c r="L221" s="1"/>
  <c r="F165"/>
  <c r="L165" s="1"/>
  <c r="F345"/>
  <c r="L345" s="1"/>
  <c r="F194"/>
  <c r="L194" s="1"/>
  <c r="F277"/>
  <c r="L277" s="1"/>
  <c r="F244"/>
  <c r="L244" s="1"/>
  <c r="F401"/>
  <c r="L401" s="1"/>
  <c r="F407"/>
  <c r="L407" s="1"/>
  <c r="F213"/>
  <c r="L213" s="1"/>
  <c r="F379"/>
  <c r="L379" s="1"/>
  <c r="F264"/>
  <c r="L264" s="1"/>
  <c r="F98"/>
  <c r="L98" s="1"/>
  <c r="F396"/>
  <c r="L396" s="1"/>
  <c r="F325"/>
  <c r="L325" s="1"/>
  <c r="F254"/>
  <c r="L254" s="1"/>
  <c r="F146"/>
  <c r="L146" s="1"/>
  <c r="F303"/>
  <c r="L303" s="1"/>
  <c r="F256"/>
  <c r="L256" s="1"/>
  <c r="F413"/>
  <c r="L413" s="1"/>
  <c r="F386"/>
  <c r="L386" s="1"/>
  <c r="F216"/>
  <c r="L216" s="1"/>
  <c r="F78"/>
  <c r="L78" s="1"/>
  <c r="F273"/>
  <c r="L273" s="1"/>
  <c r="F209"/>
  <c r="L209" s="1"/>
  <c r="F346"/>
  <c r="L346" s="1"/>
  <c r="F168"/>
  <c r="L168" s="1"/>
  <c r="F200"/>
  <c r="L200" s="1"/>
  <c r="F191"/>
  <c r="L191" s="1"/>
  <c r="F103"/>
  <c r="L103" s="1"/>
  <c r="F340"/>
  <c r="L340" s="1"/>
  <c r="F426"/>
  <c r="L426" s="1"/>
  <c r="F115"/>
  <c r="L115" s="1"/>
  <c r="F372"/>
  <c r="L372" s="1"/>
  <c r="F298"/>
  <c r="L298" s="1"/>
  <c r="F220"/>
  <c r="L220" s="1"/>
  <c r="F412"/>
  <c r="L412" s="1"/>
  <c r="F341"/>
  <c r="L341" s="1"/>
  <c r="F172"/>
  <c r="L172" s="1"/>
  <c r="F289"/>
  <c r="L289" s="1"/>
  <c r="F283"/>
  <c r="L283" s="1"/>
  <c r="F293"/>
  <c r="L293" s="1"/>
  <c r="F291"/>
  <c r="L291" s="1"/>
  <c r="F178"/>
  <c r="L178" s="1"/>
  <c r="F247"/>
  <c r="L247" s="1"/>
  <c r="F381"/>
  <c r="L381" s="1"/>
  <c r="F106"/>
  <c r="L106" s="1"/>
  <c r="F138"/>
  <c r="L138" s="1"/>
  <c r="F227"/>
  <c r="L227" s="1"/>
  <c r="F180"/>
  <c r="L180" s="1"/>
  <c r="F85"/>
  <c r="L85" s="1"/>
  <c r="F284"/>
  <c r="L284" s="1"/>
  <c r="F83"/>
  <c r="L83" s="1"/>
  <c r="F380"/>
  <c r="L380" s="1"/>
  <c r="F384"/>
  <c r="L384" s="1"/>
  <c r="F294"/>
  <c r="L294" s="1"/>
  <c r="F224"/>
  <c r="L224" s="1"/>
  <c r="F375"/>
  <c r="L375" s="1"/>
  <c r="F313"/>
  <c r="L313" s="1"/>
  <c r="F319"/>
  <c r="L319" s="1"/>
  <c r="F310"/>
  <c r="L310" s="1"/>
  <c r="F332"/>
  <c r="L332" s="1"/>
  <c r="F266"/>
  <c r="L266" s="1"/>
  <c r="F203"/>
  <c r="L203" s="1"/>
  <c r="F133"/>
  <c r="L133" s="1"/>
  <c r="F287"/>
  <c r="L287" s="1"/>
  <c r="F152"/>
  <c r="L152" s="1"/>
  <c r="F327"/>
  <c r="L327" s="1"/>
  <c r="F153"/>
  <c r="L153" s="1"/>
  <c r="F349"/>
  <c r="L349" s="1"/>
  <c r="F237"/>
  <c r="L237" s="1"/>
  <c r="F223"/>
  <c r="L223" s="1"/>
  <c r="F417"/>
  <c r="L417" s="1"/>
  <c r="F179"/>
  <c r="L179" s="1"/>
  <c r="F410"/>
  <c r="L410" s="1"/>
  <c r="F79"/>
  <c r="L79" s="1"/>
  <c r="F218"/>
  <c r="L218" s="1"/>
  <c r="F188"/>
  <c r="L188" s="1"/>
  <c r="F263"/>
  <c r="L263" s="1"/>
  <c r="F395"/>
  <c r="L395" s="1"/>
  <c r="F134"/>
  <c r="L134" s="1"/>
  <c r="F423"/>
  <c r="L423" s="1"/>
  <c r="I16"/>
  <c r="F354"/>
  <c r="L354" s="1"/>
  <c r="F143"/>
  <c r="L143" s="1"/>
  <c r="F75"/>
  <c r="L75" s="1"/>
  <c r="F208"/>
  <c r="L208" s="1"/>
  <c r="F369"/>
  <c r="L369" s="1"/>
  <c r="F88"/>
  <c r="L88" s="1"/>
  <c r="F316"/>
  <c r="L316" s="1"/>
  <c r="F246"/>
  <c r="L246" s="1"/>
  <c r="F124"/>
  <c r="L124" s="1"/>
  <c r="F255"/>
  <c r="L255" s="1"/>
  <c r="F193"/>
  <c r="L193" s="1"/>
  <c r="F236"/>
  <c r="L236" s="1"/>
  <c r="F136"/>
  <c r="L136" s="1"/>
  <c r="F185"/>
  <c r="L185" s="1"/>
  <c r="F260"/>
  <c r="L260" s="1"/>
  <c r="F93"/>
  <c r="L93" s="1"/>
  <c r="F77"/>
  <c r="L77" s="1"/>
  <c r="F157"/>
  <c r="L157" s="1"/>
  <c r="F238"/>
  <c r="L238" s="1"/>
  <c r="F397"/>
  <c r="L397" s="1"/>
  <c r="F84"/>
  <c r="L84" s="1"/>
  <c r="F108"/>
  <c r="L108" s="1"/>
  <c r="F225"/>
  <c r="L225" s="1"/>
  <c r="F388"/>
  <c r="L388" s="1"/>
  <c r="F72"/>
  <c r="L72" s="1"/>
  <c r="F148"/>
  <c r="L148" s="1"/>
  <c r="F198"/>
  <c r="L198" s="1"/>
  <c r="F334"/>
  <c r="L334" s="1"/>
  <c r="F140"/>
  <c r="L140" s="1"/>
  <c r="F67"/>
  <c r="L67" s="1"/>
  <c r="F234"/>
  <c r="L234" s="1"/>
  <c r="F338"/>
  <c r="L338" s="1"/>
  <c r="F91"/>
  <c r="L91" s="1"/>
  <c r="F308"/>
  <c r="L308" s="1"/>
  <c r="F117"/>
  <c r="L117" s="1"/>
  <c r="F299"/>
  <c r="L299" s="1"/>
  <c r="F391"/>
  <c r="L391" s="1"/>
  <c r="F215"/>
  <c r="L215" s="1"/>
  <c r="F130"/>
  <c r="L130" s="1"/>
  <c r="F162"/>
  <c r="L162" s="1"/>
  <c r="F96"/>
  <c r="L96" s="1"/>
  <c r="F275"/>
  <c r="L275" s="1"/>
  <c r="F144"/>
  <c r="L144" s="1"/>
  <c r="F328"/>
  <c r="L328" s="1"/>
  <c r="F425"/>
  <c r="L425" s="1"/>
  <c r="F366"/>
  <c r="L366" s="1"/>
  <c r="F387"/>
  <c r="L387" s="1"/>
  <c r="F145"/>
  <c r="L145" s="1"/>
  <c r="F107"/>
  <c r="L107" s="1"/>
  <c r="F314"/>
  <c r="L314" s="1"/>
  <c r="F265"/>
  <c r="L265" s="1"/>
  <c r="F402"/>
  <c r="L402" s="1"/>
  <c r="F411"/>
  <c r="L411" s="1"/>
  <c r="F235"/>
  <c r="L235" s="1"/>
  <c r="F267"/>
  <c r="L267" s="1"/>
  <c r="F326"/>
  <c r="L326" s="1"/>
  <c r="F112"/>
  <c r="L112" s="1"/>
  <c r="F329"/>
  <c r="L329" s="1"/>
  <c r="F177"/>
  <c r="L177" s="1"/>
  <c r="F352"/>
  <c r="L352" s="1"/>
  <c r="F280"/>
  <c r="L280" s="1"/>
  <c r="F373"/>
  <c r="L373" s="1"/>
  <c r="F390"/>
  <c r="L390" s="1"/>
  <c r="F125"/>
  <c r="L125" s="1"/>
  <c r="F276"/>
  <c r="L276" s="1"/>
  <c r="F262"/>
  <c r="L262" s="1"/>
  <c r="F232"/>
  <c r="L232" s="1"/>
  <c r="F330"/>
  <c r="L330" s="1"/>
  <c r="F342"/>
  <c r="L342" s="1"/>
  <c r="F370"/>
  <c r="L370" s="1"/>
  <c r="F170"/>
  <c r="L170" s="1"/>
  <c r="F104"/>
  <c r="L104" s="1"/>
  <c r="F132"/>
  <c r="L132" s="1"/>
  <c r="F355"/>
  <c r="L355" s="1"/>
  <c r="F97"/>
  <c r="L97" s="1"/>
  <c r="F322"/>
  <c r="L322" s="1"/>
  <c r="F243"/>
  <c r="L243" s="1"/>
  <c r="F309"/>
  <c r="L309" s="1"/>
  <c r="F121"/>
  <c r="L121" s="1"/>
  <c r="F300"/>
  <c r="L300" s="1"/>
  <c r="F118"/>
  <c r="L118" s="1"/>
  <c r="F321"/>
  <c r="L321" s="1"/>
  <c r="F159"/>
  <c r="L159" s="1"/>
  <c r="F376"/>
  <c r="L376" s="1"/>
  <c r="F389"/>
  <c r="L389" s="1"/>
  <c r="F288"/>
  <c r="L288" s="1"/>
  <c r="F190"/>
  <c r="L190" s="1"/>
  <c r="F339"/>
  <c r="L339" s="1"/>
  <c r="F233"/>
  <c r="L233" s="1"/>
  <c r="F81"/>
  <c r="L81" s="1"/>
  <c r="F211"/>
  <c r="L211" s="1"/>
  <c r="F219"/>
  <c r="L219" s="1"/>
  <c r="F63"/>
  <c r="G43" s="1"/>
  <c r="F181"/>
  <c r="L181" s="1"/>
  <c r="F76"/>
  <c r="L76" s="1"/>
  <c r="F171"/>
  <c r="L171" s="1"/>
  <c r="F141"/>
  <c r="L141" s="1"/>
  <c r="F90"/>
  <c r="L90" s="1"/>
  <c r="F307"/>
  <c r="L307" s="1"/>
  <c r="F195"/>
  <c r="L195" s="1"/>
  <c r="F175"/>
  <c r="L175" s="1"/>
  <c r="F228"/>
  <c r="L228" s="1"/>
  <c r="F399"/>
  <c r="L399" s="1"/>
  <c r="F392"/>
  <c r="L392" s="1"/>
  <c r="F258"/>
  <c r="L258" s="1"/>
  <c r="F240"/>
  <c r="L240" s="1"/>
  <c r="F382"/>
  <c r="L382" s="1"/>
  <c r="F350"/>
  <c r="L350" s="1"/>
  <c r="F315"/>
  <c r="L315" s="1"/>
  <c r="F337"/>
  <c r="L337" s="1"/>
  <c r="F128"/>
  <c r="L128" s="1"/>
  <c r="F204"/>
  <c r="L204" s="1"/>
  <c r="F297"/>
  <c r="L297" s="1"/>
  <c r="F420"/>
  <c r="L420" s="1"/>
  <c r="F250"/>
  <c r="L250" s="1"/>
  <c r="F68"/>
  <c r="L68" s="1"/>
  <c r="F270"/>
  <c r="L270" s="1"/>
  <c r="F155"/>
  <c r="L155" s="1"/>
  <c r="F365"/>
  <c r="L365" s="1"/>
  <c r="F92"/>
  <c r="L92" s="1"/>
  <c r="F222"/>
  <c r="L222" s="1"/>
  <c r="F403"/>
  <c r="L403" s="1"/>
  <c r="F99"/>
  <c r="L99" s="1"/>
  <c r="F242"/>
  <c r="L242" s="1"/>
  <c r="F87"/>
  <c r="L87" s="1"/>
  <c r="F189"/>
  <c r="L189" s="1"/>
  <c r="F137"/>
  <c r="L137" s="1"/>
  <c r="F207"/>
  <c r="L207" s="1"/>
  <c r="F173"/>
  <c r="L173" s="1"/>
  <c r="F305"/>
  <c r="L305" s="1"/>
  <c r="F363"/>
  <c r="L363" s="1"/>
  <c r="F285"/>
  <c r="L285" s="1"/>
  <c r="F419"/>
  <c r="L419" s="1"/>
  <c r="F196"/>
  <c r="L196" s="1"/>
  <c r="F408"/>
  <c r="L408" s="1"/>
  <c r="F169"/>
  <c r="L169" s="1"/>
  <c r="F290"/>
  <c r="L290" s="1"/>
  <c r="F252"/>
  <c r="L252" s="1"/>
  <c r="F336"/>
  <c r="L336" s="1"/>
  <c r="F192"/>
  <c r="L192" s="1"/>
  <c r="F427"/>
  <c r="L427" s="1"/>
  <c r="F415"/>
  <c r="L415" s="1"/>
  <c r="F274"/>
  <c r="L274" s="1"/>
  <c r="F127"/>
  <c r="L127" s="1"/>
  <c r="F94"/>
  <c r="L94" s="1"/>
  <c r="F187"/>
  <c r="L187" s="1"/>
  <c r="F131"/>
  <c r="L131" s="1"/>
  <c r="F205"/>
  <c r="L205" s="1"/>
  <c r="F164"/>
  <c r="L164" s="1"/>
  <c r="F261"/>
  <c r="L261" s="1"/>
  <c r="F102"/>
  <c r="L102" s="1"/>
  <c r="F147"/>
  <c r="L147" s="1"/>
  <c r="F361"/>
  <c r="L361" s="1"/>
  <c r="F142"/>
  <c r="L142" s="1"/>
  <c r="F123"/>
  <c r="L123" s="1"/>
  <c r="F331"/>
  <c r="L331" s="1"/>
  <c r="F231"/>
  <c r="L231" s="1"/>
  <c r="F406"/>
  <c r="L406" s="1"/>
  <c r="F357"/>
  <c r="L357" s="1"/>
  <c r="F248"/>
  <c r="L248" s="1"/>
  <c r="F100"/>
  <c r="L100" s="1"/>
  <c r="F80"/>
  <c r="L80" s="1"/>
  <c r="F383"/>
  <c r="L383" s="1"/>
  <c r="F301"/>
  <c r="L301" s="1"/>
  <c r="F304"/>
  <c r="L304" s="1"/>
  <c r="F114"/>
  <c r="L114" s="1"/>
  <c r="F348"/>
  <c r="L348" s="1"/>
  <c r="F257"/>
  <c r="L257" s="1"/>
  <c r="F353"/>
  <c r="L353" s="1"/>
  <c r="F418"/>
  <c r="L418" s="1"/>
  <c r="F286"/>
  <c r="L286" s="1"/>
  <c r="F269"/>
  <c r="L269" s="1"/>
  <c r="F214"/>
  <c r="L214" s="1"/>
  <c r="F335"/>
  <c r="L335" s="1"/>
  <c r="F167"/>
  <c r="L167" s="1"/>
  <c r="F356"/>
  <c r="L356" s="1"/>
  <c r="F368"/>
  <c r="L368" s="1"/>
  <c r="F161"/>
  <c r="L161" s="1"/>
  <c r="F306"/>
  <c r="L306" s="1"/>
  <c r="F351"/>
  <c r="L351" s="1"/>
  <c r="F323"/>
  <c r="L323" s="1"/>
  <c r="F259"/>
  <c r="L259" s="1"/>
  <c r="F377"/>
  <c r="L377" s="1"/>
  <c r="F292"/>
  <c r="L292" s="1"/>
  <c r="F6" i="8"/>
  <c r="F5"/>
  <c r="F7"/>
  <c r="F8" s="1"/>
  <c r="W4" i="18"/>
  <c r="W5"/>
  <c r="W3"/>
  <c r="F43"/>
  <c r="AU87" i="17"/>
  <c r="A81" i="18"/>
  <c r="P6" i="1" s="1"/>
  <c r="AE10" i="17"/>
  <c r="AJ5"/>
  <c r="AA24" i="2"/>
  <c r="N87" i="18"/>
  <c r="N92"/>
  <c r="N83"/>
  <c r="P21"/>
  <c r="M21"/>
  <c r="C30" i="6"/>
  <c r="D30"/>
  <c r="AV87" i="17"/>
  <c r="AO58"/>
  <c r="F53" i="18"/>
  <c r="AK2" i="17"/>
  <c r="C16" i="16"/>
  <c r="C18"/>
  <c r="F14"/>
  <c r="F13"/>
  <c r="C17"/>
  <c r="F10"/>
  <c r="G16"/>
  <c r="C20"/>
  <c r="C21"/>
  <c r="D23" s="1"/>
  <c r="C23" s="1"/>
  <c r="AH5" i="17"/>
  <c r="AF24"/>
  <c r="AJ46"/>
  <c r="AJ47" s="1"/>
  <c r="AJ48" s="1"/>
  <c r="AD19"/>
  <c r="AK56"/>
  <c r="AF25"/>
  <c r="A1"/>
  <c r="AE3"/>
  <c r="AH60"/>
  <c r="AL10"/>
  <c r="AM10" s="1"/>
  <c r="AM11" s="1"/>
  <c r="Q4"/>
  <c r="AM50"/>
  <c r="AO17"/>
  <c r="AF26"/>
  <c r="AE34"/>
  <c r="AE14"/>
  <c r="AG36"/>
  <c r="AG37" s="1"/>
  <c r="AK46"/>
  <c r="AK3"/>
  <c r="AD2" s="1"/>
  <c r="AK4"/>
  <c r="AH6"/>
  <c r="K10" i="11" l="1"/>
  <c r="K11" s="1"/>
  <c r="R71" i="13"/>
  <c r="J70"/>
  <c r="K70" s="1"/>
  <c r="B73"/>
  <c r="C72"/>
  <c r="G72"/>
  <c r="F72"/>
  <c r="E72"/>
  <c r="H72" s="1"/>
  <c r="D72"/>
  <c r="T72"/>
  <c r="H71"/>
  <c r="I71" s="1"/>
  <c r="Q2" i="11"/>
  <c r="J7" i="15"/>
  <c r="K8" s="1"/>
  <c r="I10" s="1"/>
  <c r="B19" i="2"/>
  <c r="B20" s="1"/>
  <c r="BF35" i="17"/>
  <c r="BJ35"/>
  <c r="BN35"/>
  <c r="BH35"/>
  <c r="BP35"/>
  <c r="BK35"/>
  <c r="BO35"/>
  <c r="BI35"/>
  <c r="BM35"/>
  <c r="BE35"/>
  <c r="BL35"/>
  <c r="BG35"/>
  <c r="BA109"/>
  <c r="AZ108"/>
  <c r="AY107"/>
  <c r="AY105"/>
  <c r="D8" i="15"/>
  <c r="E8" s="1"/>
  <c r="A14" s="1"/>
  <c r="AH131" i="17"/>
  <c r="X2" i="2"/>
  <c r="J72"/>
  <c r="J74" s="1"/>
  <c r="J75" s="1"/>
  <c r="J52"/>
  <c r="J53" s="1"/>
  <c r="G46" i="11"/>
  <c r="W5" i="2"/>
  <c r="O10" s="1"/>
  <c r="O10" i="11"/>
  <c r="O13"/>
  <c r="F7" i="9"/>
  <c r="F10" s="1"/>
  <c r="F11" s="1"/>
  <c r="H14" s="1"/>
  <c r="G3" s="1"/>
  <c r="H3" s="1"/>
  <c r="O15" i="11"/>
  <c r="W4" i="2"/>
  <c r="X4" s="1"/>
  <c r="Y6" s="1"/>
  <c r="O14" i="11"/>
  <c r="Z2" i="2"/>
  <c r="S31"/>
  <c r="S32" s="1"/>
  <c r="O11" i="11"/>
  <c r="O9"/>
  <c r="O12"/>
  <c r="K21"/>
  <c r="K22" s="1"/>
  <c r="L22" s="1"/>
  <c r="B29" i="2"/>
  <c r="B31" s="1"/>
  <c r="B32" s="1"/>
  <c r="H4" s="1"/>
  <c r="Z9"/>
  <c r="W18"/>
  <c r="C13" i="6"/>
  <c r="G23" s="1"/>
  <c r="O19" i="1" s="1"/>
  <c r="J1" i="11" s="1"/>
  <c r="T18" i="18"/>
  <c r="I8" i="15"/>
  <c r="AY34" i="17"/>
  <c r="BC34"/>
  <c r="AX34"/>
  <c r="BB34"/>
  <c r="AW34"/>
  <c r="BA34"/>
  <c r="AZ34"/>
  <c r="BD58"/>
  <c r="A72" i="18" s="1"/>
  <c r="AU34" i="17"/>
  <c r="AV34"/>
  <c r="Q17" i="11"/>
  <c r="Q18" s="1"/>
  <c r="R18" s="1"/>
  <c r="AI4" i="17"/>
  <c r="K23" i="15"/>
  <c r="AF21" i="17"/>
  <c r="AB62"/>
  <c r="AE12"/>
  <c r="AD53"/>
  <c r="AE5"/>
  <c r="AH12" s="1"/>
  <c r="BA104" s="1"/>
  <c r="AB119" s="1"/>
  <c r="AF4"/>
  <c r="AD52"/>
  <c r="AH7"/>
  <c r="AG17" s="1"/>
  <c r="AF17" s="1"/>
  <c r="AI17" s="1"/>
  <c r="AI18" s="1"/>
  <c r="H23" i="6"/>
  <c r="P19" i="1" s="1"/>
  <c r="K1" i="11" s="1"/>
  <c r="B12" i="4"/>
  <c r="B14" s="1"/>
  <c r="Y44" i="18"/>
  <c r="Z21" s="1"/>
  <c r="X44"/>
  <c r="F9" i="8"/>
  <c r="F12" s="1"/>
  <c r="F13" s="1"/>
  <c r="B9" i="11"/>
  <c r="B10"/>
  <c r="B7"/>
  <c r="B23"/>
  <c r="B25" s="1"/>
  <c r="B26"/>
  <c r="AE35" i="17"/>
  <c r="AE36" s="1"/>
  <c r="AB29" s="1"/>
  <c r="AA29" s="1"/>
  <c r="AG35"/>
  <c r="AG34"/>
  <c r="AP50"/>
  <c r="AP51" s="1"/>
  <c r="AP52" s="1"/>
  <c r="AM51"/>
  <c r="W6" i="18"/>
  <c r="W7"/>
  <c r="W8"/>
  <c r="W9" s="1"/>
  <c r="H52" i="16"/>
  <c r="F52"/>
  <c r="F53"/>
  <c r="N94" i="18"/>
  <c r="N93"/>
  <c r="B33" i="4"/>
  <c r="B34"/>
  <c r="BI61" i="17"/>
  <c r="BJ71"/>
  <c r="AO4"/>
  <c r="AL9"/>
  <c r="AM9" s="1"/>
  <c r="AN9" s="1"/>
  <c r="AL8"/>
  <c r="AM8" s="1"/>
  <c r="AM13" s="1"/>
  <c r="AG38"/>
  <c r="BP60"/>
  <c r="AO81"/>
  <c r="A83" i="18" s="1"/>
  <c r="A69" s="1"/>
  <c r="M3" i="1" s="1"/>
  <c r="BG81" i="17"/>
  <c r="AO84"/>
  <c r="BE81"/>
  <c r="AV82"/>
  <c r="A88" i="18" s="1"/>
  <c r="W11"/>
  <c r="W12"/>
  <c r="C6" i="8"/>
  <c r="C7" s="1"/>
  <c r="AH67" i="17"/>
  <c r="AH63"/>
  <c r="I19" i="16"/>
  <c r="G17"/>
  <c r="G18" s="1"/>
  <c r="I20"/>
  <c r="I21"/>
  <c r="I22" s="1"/>
  <c r="I23"/>
  <c r="AX80" i="17"/>
  <c r="A92" i="18" s="1"/>
  <c r="BJ70" i="17"/>
  <c r="R21" i="18"/>
  <c r="Q21"/>
  <c r="S21" s="1"/>
  <c r="AM46" i="17"/>
  <c r="AK47"/>
  <c r="AK48" s="1"/>
  <c r="AD50"/>
  <c r="N85" i="18"/>
  <c r="N88" s="1"/>
  <c r="O88" s="1"/>
  <c r="N98"/>
  <c r="Q94"/>
  <c r="O93"/>
  <c r="AE7" i="2"/>
  <c r="AF7" s="1"/>
  <c r="AE6"/>
  <c r="AF6" s="1"/>
  <c r="M18" i="18"/>
  <c r="M17"/>
  <c r="L16"/>
  <c r="D22" i="16"/>
  <c r="C22" s="1"/>
  <c r="C24" s="1"/>
  <c r="D24" s="1"/>
  <c r="K12" i="11" l="1"/>
  <c r="K13" s="1"/>
  <c r="K24" s="1"/>
  <c r="Q8" s="1"/>
  <c r="J19" i="2"/>
  <c r="J18" s="1"/>
  <c r="R72" i="13"/>
  <c r="I72"/>
  <c r="J72" s="1"/>
  <c r="K72" s="1"/>
  <c r="E73"/>
  <c r="D73"/>
  <c r="B74"/>
  <c r="C73"/>
  <c r="H73" s="1"/>
  <c r="G73"/>
  <c r="F73"/>
  <c r="T73"/>
  <c r="J71"/>
  <c r="K71" s="1"/>
  <c r="A18" i="15"/>
  <c r="B18" s="1"/>
  <c r="K18" i="1"/>
  <c r="M18" s="1"/>
  <c r="B27" i="15"/>
  <c r="P5" i="1"/>
  <c r="B28" i="15"/>
  <c r="P3" i="1"/>
  <c r="K10" i="15"/>
  <c r="J11" s="1"/>
  <c r="K12" s="1"/>
  <c r="F119" i="17"/>
  <c r="E119" s="1"/>
  <c r="AC90"/>
  <c r="AC91" s="1"/>
  <c r="J76" i="2"/>
  <c r="J78" s="1"/>
  <c r="J79" s="1"/>
  <c r="J82" s="1"/>
  <c r="K82" s="1"/>
  <c r="E9" i="15"/>
  <c r="B14" s="1"/>
  <c r="X6" i="2"/>
  <c r="AH132" i="17"/>
  <c r="K14" i="15"/>
  <c r="AA10" i="2"/>
  <c r="X7"/>
  <c r="Y5"/>
  <c r="U8" s="1"/>
  <c r="U9" s="1"/>
  <c r="T31"/>
  <c r="T32" s="1"/>
  <c r="M21" i="11"/>
  <c r="L21"/>
  <c r="AW87" i="17"/>
  <c r="U125"/>
  <c r="B125" s="1"/>
  <c r="P136" s="1"/>
  <c r="R17" i="11"/>
  <c r="I3" i="9"/>
  <c r="AH11" i="17"/>
  <c r="AE11" s="1"/>
  <c r="B16" i="4"/>
  <c r="B17" s="1"/>
  <c r="W10" i="18"/>
  <c r="W13" s="1"/>
  <c r="W14" s="1"/>
  <c r="T21"/>
  <c r="U21" s="1"/>
  <c r="N95"/>
  <c r="N96" s="1"/>
  <c r="I14" i="16"/>
  <c r="AH28" i="17"/>
  <c r="AB28" s="1"/>
  <c r="AA28" s="1"/>
  <c r="AF27" s="1"/>
  <c r="AF28" s="1"/>
  <c r="AE31" s="1"/>
  <c r="B35" i="2"/>
  <c r="F55" i="16"/>
  <c r="F54"/>
  <c r="F60" s="1"/>
  <c r="F14" i="8"/>
  <c r="G14" s="1"/>
  <c r="I13" i="16"/>
  <c r="AI14" i="17"/>
  <c r="AK14" s="1"/>
  <c r="K3" i="2"/>
  <c r="C14" i="1" s="1"/>
  <c r="J3" i="2"/>
  <c r="K17" i="18"/>
  <c r="N16"/>
  <c r="J17"/>
  <c r="K16"/>
  <c r="B31" i="11"/>
  <c r="F7"/>
  <c r="F25" s="1"/>
  <c r="D7" i="8"/>
  <c r="BJ72" i="17"/>
  <c r="BJ73"/>
  <c r="AM47"/>
  <c r="AO46"/>
  <c r="AO47" s="1"/>
  <c r="AG63"/>
  <c r="G7" i="11"/>
  <c r="G25" s="1"/>
  <c r="B32"/>
  <c r="AC52" i="17"/>
  <c r="BS64"/>
  <c r="BS62"/>
  <c r="BS63"/>
  <c r="G184" i="18"/>
  <c r="G79"/>
  <c r="H79" s="1"/>
  <c r="G328"/>
  <c r="H328" s="1"/>
  <c r="G420"/>
  <c r="H420" s="1"/>
  <c r="G368"/>
  <c r="G133"/>
  <c r="H133" s="1"/>
  <c r="G308"/>
  <c r="H308" s="1"/>
  <c r="G87"/>
  <c r="H87" s="1"/>
  <c r="G260"/>
  <c r="H260" s="1"/>
  <c r="G132"/>
  <c r="H132" s="1"/>
  <c r="G383"/>
  <c r="H383" s="1"/>
  <c r="G206"/>
  <c r="H206" s="1"/>
  <c r="G404"/>
  <c r="H404" s="1"/>
  <c r="G302"/>
  <c r="H302" s="1"/>
  <c r="G93"/>
  <c r="H93" s="1"/>
  <c r="G375"/>
  <c r="H375" s="1"/>
  <c r="G262"/>
  <c r="H262" s="1"/>
  <c r="G83"/>
  <c r="H83" s="1"/>
  <c r="G422"/>
  <c r="H422" s="1"/>
  <c r="G175"/>
  <c r="H175" s="1"/>
  <c r="G140"/>
  <c r="H140" s="1"/>
  <c r="G292"/>
  <c r="H292" s="1"/>
  <c r="G77"/>
  <c r="H77" s="1"/>
  <c r="G424"/>
  <c r="H424" s="1"/>
  <c r="G344"/>
  <c r="H344" s="1"/>
  <c r="G73"/>
  <c r="H73" s="1"/>
  <c r="G354"/>
  <c r="H354" s="1"/>
  <c r="G220"/>
  <c r="H220" s="1"/>
  <c r="G265"/>
  <c r="H265" s="1"/>
  <c r="G188"/>
  <c r="H188" s="1"/>
  <c r="G340"/>
  <c r="H340" s="1"/>
  <c r="G218"/>
  <c r="H218" s="1"/>
  <c r="G425"/>
  <c r="H425" s="1"/>
  <c r="G250"/>
  <c r="H250" s="1"/>
  <c r="G273"/>
  <c r="H273" s="1"/>
  <c r="G216"/>
  <c r="H216" s="1"/>
  <c r="G189"/>
  <c r="H189" s="1"/>
  <c r="G168"/>
  <c r="H168" s="1"/>
  <c r="G413"/>
  <c r="H413" s="1"/>
  <c r="G294"/>
  <c r="H294" s="1"/>
  <c r="G104"/>
  <c r="H104" s="1"/>
  <c r="G185"/>
  <c r="H185" s="1"/>
  <c r="G266"/>
  <c r="H266" s="1"/>
  <c r="G269"/>
  <c r="H269" s="1"/>
  <c r="G382"/>
  <c r="H382" s="1"/>
  <c r="G95"/>
  <c r="H95" s="1"/>
  <c r="G280"/>
  <c r="H280" s="1"/>
  <c r="G226"/>
  <c r="H226" s="1"/>
  <c r="G151"/>
  <c r="H151" s="1"/>
  <c r="G398"/>
  <c r="G357"/>
  <c r="H357" s="1"/>
  <c r="G235"/>
  <c r="H235" s="1"/>
  <c r="G94"/>
  <c r="G384"/>
  <c r="H384" s="1"/>
  <c r="G390"/>
  <c r="H390" s="1"/>
  <c r="G296"/>
  <c r="H296" s="1"/>
  <c r="G202"/>
  <c r="H202" s="1"/>
  <c r="G231"/>
  <c r="H231" s="1"/>
  <c r="G290"/>
  <c r="H290" s="1"/>
  <c r="G303"/>
  <c r="H303" s="1"/>
  <c r="G389"/>
  <c r="H389" s="1"/>
  <c r="G117"/>
  <c r="H117" s="1"/>
  <c r="G239"/>
  <c r="H239" s="1"/>
  <c r="G225"/>
  <c r="H225" s="1"/>
  <c r="G170"/>
  <c r="H170" s="1"/>
  <c r="G240"/>
  <c r="H240" s="1"/>
  <c r="G409"/>
  <c r="H409" s="1"/>
  <c r="G99"/>
  <c r="H99" s="1"/>
  <c r="G306"/>
  <c r="H306" s="1"/>
  <c r="G112"/>
  <c r="H112" s="1"/>
  <c r="G181"/>
  <c r="H181" s="1"/>
  <c r="G182"/>
  <c r="H182" s="1"/>
  <c r="G339"/>
  <c r="H339" s="1"/>
  <c r="G322"/>
  <c r="H322" s="1"/>
  <c r="G421"/>
  <c r="H421" s="1"/>
  <c r="G76"/>
  <c r="H76" s="1"/>
  <c r="G282"/>
  <c r="H282" s="1"/>
  <c r="G301"/>
  <c r="H301" s="1"/>
  <c r="G363"/>
  <c r="H363" s="1"/>
  <c r="G329"/>
  <c r="H329" s="1"/>
  <c r="G152"/>
  <c r="H152" s="1"/>
  <c r="G274"/>
  <c r="H274" s="1"/>
  <c r="G113"/>
  <c r="H113" s="1"/>
  <c r="G177"/>
  <c r="H177" s="1"/>
  <c r="G72"/>
  <c r="H72" s="1"/>
  <c r="G414"/>
  <c r="H414" s="1"/>
  <c r="G86"/>
  <c r="H86" s="1"/>
  <c r="AK81" i="17"/>
  <c r="AK83" s="1"/>
  <c r="AK84" s="1"/>
  <c r="A86" i="18" s="1"/>
  <c r="G310"/>
  <c r="H310" s="1"/>
  <c r="G319"/>
  <c r="H319" s="1"/>
  <c r="G114"/>
  <c r="H114" s="1"/>
  <c r="G258"/>
  <c r="H258" s="1"/>
  <c r="G304"/>
  <c r="H304" s="1"/>
  <c r="G63"/>
  <c r="G412"/>
  <c r="H412" s="1"/>
  <c r="G131"/>
  <c r="H131" s="1"/>
  <c r="G233"/>
  <c r="H233" s="1"/>
  <c r="G275"/>
  <c r="H275" s="1"/>
  <c r="G386"/>
  <c r="H386" s="1"/>
  <c r="G234"/>
  <c r="H234" s="1"/>
  <c r="G118"/>
  <c r="H118" s="1"/>
  <c r="G402"/>
  <c r="H402" s="1"/>
  <c r="G353"/>
  <c r="H353" s="1"/>
  <c r="G190"/>
  <c r="H190" s="1"/>
  <c r="G147"/>
  <c r="H147" s="1"/>
  <c r="G146"/>
  <c r="H146" s="1"/>
  <c r="G173"/>
  <c r="H173" s="1"/>
  <c r="G156"/>
  <c r="H156" s="1"/>
  <c r="G385"/>
  <c r="H385" s="1"/>
  <c r="G121"/>
  <c r="H121" s="1"/>
  <c r="G343"/>
  <c r="H343" s="1"/>
  <c r="G372"/>
  <c r="H372" s="1"/>
  <c r="G346"/>
  <c r="H346" s="1"/>
  <c r="G155"/>
  <c r="H155" s="1"/>
  <c r="G213"/>
  <c r="H213" s="1"/>
  <c r="G214"/>
  <c r="H214" s="1"/>
  <c r="G84"/>
  <c r="H84" s="1"/>
  <c r="G116"/>
  <c r="H116" s="1"/>
  <c r="G70"/>
  <c r="H70" s="1"/>
  <c r="G364"/>
  <c r="H364" s="1"/>
  <c r="G317"/>
  <c r="H317" s="1"/>
  <c r="G245"/>
  <c r="G103"/>
  <c r="H103" s="1"/>
  <c r="G204"/>
  <c r="H204" s="1"/>
  <c r="G264"/>
  <c r="H264" s="1"/>
  <c r="G97"/>
  <c r="H97" s="1"/>
  <c r="G370"/>
  <c r="H370" s="1"/>
  <c r="G129"/>
  <c r="H129" s="1"/>
  <c r="G100"/>
  <c r="H100" s="1"/>
  <c r="G201"/>
  <c r="H201" s="1"/>
  <c r="G120"/>
  <c r="H120" s="1"/>
  <c r="G281"/>
  <c r="H281" s="1"/>
  <c r="G119"/>
  <c r="H119" s="1"/>
  <c r="G186"/>
  <c r="H186" s="1"/>
  <c r="G291"/>
  <c r="H291" s="1"/>
  <c r="G406"/>
  <c r="H406" s="1"/>
  <c r="G396"/>
  <c r="H396" s="1"/>
  <c r="G415"/>
  <c r="H415" s="1"/>
  <c r="G426"/>
  <c r="H426" s="1"/>
  <c r="G180"/>
  <c r="H180" s="1"/>
  <c r="G171"/>
  <c r="H171" s="1"/>
  <c r="G222"/>
  <c r="H222" s="1"/>
  <c r="G366"/>
  <c r="H366" s="1"/>
  <c r="G254"/>
  <c r="H254" s="1"/>
  <c r="G307"/>
  <c r="G332"/>
  <c r="H332" s="1"/>
  <c r="G141"/>
  <c r="H141" s="1"/>
  <c r="G272"/>
  <c r="H272" s="1"/>
  <c r="G305"/>
  <c r="H305" s="1"/>
  <c r="G330"/>
  <c r="H330" s="1"/>
  <c r="G338"/>
  <c r="H338" s="1"/>
  <c r="G102"/>
  <c r="H102" s="1"/>
  <c r="G198"/>
  <c r="H198" s="1"/>
  <c r="G80"/>
  <c r="H80" s="1"/>
  <c r="G65"/>
  <c r="H65" s="1"/>
  <c r="G341"/>
  <c r="H341" s="1"/>
  <c r="G219"/>
  <c r="H219" s="1"/>
  <c r="G68"/>
  <c r="H68" s="1"/>
  <c r="G179"/>
  <c r="H179" s="1"/>
  <c r="G297"/>
  <c r="H297" s="1"/>
  <c r="G105"/>
  <c r="H105" s="1"/>
  <c r="G377"/>
  <c r="H377" s="1"/>
  <c r="G283"/>
  <c r="H283" s="1"/>
  <c r="G405"/>
  <c r="H405" s="1"/>
  <c r="G263"/>
  <c r="H263" s="1"/>
  <c r="G257"/>
  <c r="H257" s="1"/>
  <c r="G356"/>
  <c r="H356" s="1"/>
  <c r="G325"/>
  <c r="H325" s="1"/>
  <c r="G244"/>
  <c r="H244" s="1"/>
  <c r="G108"/>
  <c r="H108" s="1"/>
  <c r="G333"/>
  <c r="H333" s="1"/>
  <c r="G251"/>
  <c r="H251" s="1"/>
  <c r="G232"/>
  <c r="H232" s="1"/>
  <c r="G143"/>
  <c r="H143" s="1"/>
  <c r="G211"/>
  <c r="H211" s="1"/>
  <c r="G169"/>
  <c r="H169" s="1"/>
  <c r="G78"/>
  <c r="H78" s="1"/>
  <c r="G391"/>
  <c r="H391" s="1"/>
  <c r="G98"/>
  <c r="H98" s="1"/>
  <c r="G154"/>
  <c r="G165"/>
  <c r="H165" s="1"/>
  <c r="G367"/>
  <c r="H367" s="1"/>
  <c r="G271"/>
  <c r="H271" s="1"/>
  <c r="G183"/>
  <c r="H183" s="1"/>
  <c r="G192"/>
  <c r="H192" s="1"/>
  <c r="G209"/>
  <c r="H209" s="1"/>
  <c r="G196"/>
  <c r="H196" s="1"/>
  <c r="G270"/>
  <c r="H270" s="1"/>
  <c r="G125"/>
  <c r="H125" s="1"/>
  <c r="G397"/>
  <c r="H397" s="1"/>
  <c r="G238"/>
  <c r="H238" s="1"/>
  <c r="G64"/>
  <c r="H64" s="1"/>
  <c r="G323"/>
  <c r="H323" s="1"/>
  <c r="G394"/>
  <c r="H394" s="1"/>
  <c r="G279"/>
  <c r="H279" s="1"/>
  <c r="G89"/>
  <c r="H89" s="1"/>
  <c r="G110"/>
  <c r="H110" s="1"/>
  <c r="G92"/>
  <c r="H92" s="1"/>
  <c r="G285"/>
  <c r="H285" s="1"/>
  <c r="G259"/>
  <c r="H259" s="1"/>
  <c r="G90"/>
  <c r="H90" s="1"/>
  <c r="G85"/>
  <c r="H85" s="1"/>
  <c r="G139"/>
  <c r="H139" s="1"/>
  <c r="G326"/>
  <c r="H326" s="1"/>
  <c r="G360"/>
  <c r="H360" s="1"/>
  <c r="G256"/>
  <c r="H256" s="1"/>
  <c r="G388"/>
  <c r="H388" s="1"/>
  <c r="G276"/>
  <c r="G106"/>
  <c r="H106" s="1"/>
  <c r="G371"/>
  <c r="H371" s="1"/>
  <c r="G137"/>
  <c r="H137" s="1"/>
  <c r="G101"/>
  <c r="H101" s="1"/>
  <c r="G362"/>
  <c r="H362" s="1"/>
  <c r="G161"/>
  <c r="H161" s="1"/>
  <c r="G223"/>
  <c r="H223" s="1"/>
  <c r="G376"/>
  <c r="H376" s="1"/>
  <c r="G289"/>
  <c r="H289" s="1"/>
  <c r="G314"/>
  <c r="H314" s="1"/>
  <c r="G410"/>
  <c r="H410" s="1"/>
  <c r="G408"/>
  <c r="H408" s="1"/>
  <c r="G287"/>
  <c r="H287" s="1"/>
  <c r="G115"/>
  <c r="H115" s="1"/>
  <c r="G199"/>
  <c r="H199" s="1"/>
  <c r="G350"/>
  <c r="H350" s="1"/>
  <c r="G81"/>
  <c r="H81" s="1"/>
  <c r="G215"/>
  <c r="G224"/>
  <c r="H224" s="1"/>
  <c r="G159"/>
  <c r="H159" s="1"/>
  <c r="G74"/>
  <c r="H74" s="1"/>
  <c r="G407"/>
  <c r="H407" s="1"/>
  <c r="G399"/>
  <c r="H399" s="1"/>
  <c r="G321"/>
  <c r="H321" s="1"/>
  <c r="G126"/>
  <c r="H126" s="1"/>
  <c r="G393"/>
  <c r="H393" s="1"/>
  <c r="G268"/>
  <c r="H268" s="1"/>
  <c r="G237"/>
  <c r="H237" s="1"/>
  <c r="G221"/>
  <c r="H221" s="1"/>
  <c r="G312"/>
  <c r="H312" s="1"/>
  <c r="G428"/>
  <c r="H428" s="1"/>
  <c r="G207"/>
  <c r="H207" s="1"/>
  <c r="G178"/>
  <c r="H178" s="1"/>
  <c r="G128"/>
  <c r="H128" s="1"/>
  <c r="G248"/>
  <c r="H248" s="1"/>
  <c r="G351"/>
  <c r="H351" s="1"/>
  <c r="G293"/>
  <c r="H293" s="1"/>
  <c r="G67"/>
  <c r="H67" s="1"/>
  <c r="G158"/>
  <c r="H158" s="1"/>
  <c r="G205"/>
  <c r="H205" s="1"/>
  <c r="B22" i="15"/>
  <c r="C22" s="1"/>
  <c r="G157" i="18"/>
  <c r="H157" s="1"/>
  <c r="G148"/>
  <c r="H148" s="1"/>
  <c r="G150"/>
  <c r="H150" s="1"/>
  <c r="G145"/>
  <c r="H145" s="1"/>
  <c r="G417"/>
  <c r="H417" s="1"/>
  <c r="G249"/>
  <c r="H249" s="1"/>
  <c r="G75"/>
  <c r="H75" s="1"/>
  <c r="G69"/>
  <c r="H69" s="1"/>
  <c r="G335"/>
  <c r="H335" s="1"/>
  <c r="G134"/>
  <c r="H134" s="1"/>
  <c r="G349"/>
  <c r="H349" s="1"/>
  <c r="G203"/>
  <c r="H203" s="1"/>
  <c r="G212"/>
  <c r="H212" s="1"/>
  <c r="G358"/>
  <c r="H358" s="1"/>
  <c r="G135"/>
  <c r="H135" s="1"/>
  <c r="G359"/>
  <c r="H359" s="1"/>
  <c r="G347"/>
  <c r="H347" s="1"/>
  <c r="G191"/>
  <c r="H191" s="1"/>
  <c r="G299"/>
  <c r="H299" s="1"/>
  <c r="G136"/>
  <c r="H136" s="1"/>
  <c r="G197"/>
  <c r="H197" s="1"/>
  <c r="G163"/>
  <c r="H163" s="1"/>
  <c r="G138"/>
  <c r="H138" s="1"/>
  <c r="G71"/>
  <c r="H71" s="1"/>
  <c r="G172"/>
  <c r="H172" s="1"/>
  <c r="G284"/>
  <c r="H284" s="1"/>
  <c r="G286"/>
  <c r="H286" s="1"/>
  <c r="G162"/>
  <c r="H162" s="1"/>
  <c r="G66"/>
  <c r="H66" s="1"/>
  <c r="G127"/>
  <c r="H127" s="1"/>
  <c r="G352"/>
  <c r="H352" s="1"/>
  <c r="G247"/>
  <c r="H247" s="1"/>
  <c r="G378"/>
  <c r="H378" s="1"/>
  <c r="G241"/>
  <c r="H241" s="1"/>
  <c r="G401"/>
  <c r="H401" s="1"/>
  <c r="G380"/>
  <c r="H380" s="1"/>
  <c r="G246"/>
  <c r="H246" s="1"/>
  <c r="G315"/>
  <c r="H315" s="1"/>
  <c r="G153"/>
  <c r="H153" s="1"/>
  <c r="G82"/>
  <c r="H82" s="1"/>
  <c r="G242"/>
  <c r="H242" s="1"/>
  <c r="G419"/>
  <c r="H419" s="1"/>
  <c r="G164"/>
  <c r="H164" s="1"/>
  <c r="G142"/>
  <c r="H142" s="1"/>
  <c r="G91"/>
  <c r="H91" s="1"/>
  <c r="G261"/>
  <c r="H261" s="1"/>
  <c r="G423"/>
  <c r="H423" s="1"/>
  <c r="G124"/>
  <c r="H124" s="1"/>
  <c r="G369"/>
  <c r="H369" s="1"/>
  <c r="G327"/>
  <c r="H327" s="1"/>
  <c r="G194"/>
  <c r="H194" s="1"/>
  <c r="G403"/>
  <c r="H403" s="1"/>
  <c r="G267"/>
  <c r="H267" s="1"/>
  <c r="G227"/>
  <c r="H227" s="1"/>
  <c r="G298"/>
  <c r="H298" s="1"/>
  <c r="G345"/>
  <c r="H345" s="1"/>
  <c r="I36"/>
  <c r="G379"/>
  <c r="H379" s="1"/>
  <c r="G418"/>
  <c r="H418" s="1"/>
  <c r="G373"/>
  <c r="H373" s="1"/>
  <c r="G313"/>
  <c r="H313" s="1"/>
  <c r="G253"/>
  <c r="H253" s="1"/>
  <c r="G210"/>
  <c r="H210" s="1"/>
  <c r="G361"/>
  <c r="H361" s="1"/>
  <c r="G331"/>
  <c r="H331" s="1"/>
  <c r="G300"/>
  <c r="H300" s="1"/>
  <c r="G342"/>
  <c r="H342" s="1"/>
  <c r="G167"/>
  <c r="H167" s="1"/>
  <c r="G208"/>
  <c r="H208" s="1"/>
  <c r="G149"/>
  <c r="H149" s="1"/>
  <c r="G217"/>
  <c r="H217" s="1"/>
  <c r="G243"/>
  <c r="H243" s="1"/>
  <c r="G336"/>
  <c r="H336" s="1"/>
  <c r="G320"/>
  <c r="H320" s="1"/>
  <c r="G229"/>
  <c r="H229" s="1"/>
  <c r="G144"/>
  <c r="H144" s="1"/>
  <c r="G337"/>
  <c r="G111"/>
  <c r="H111" s="1"/>
  <c r="G200"/>
  <c r="H200" s="1"/>
  <c r="G355"/>
  <c r="H355" s="1"/>
  <c r="G311"/>
  <c r="H311" s="1"/>
  <c r="G374"/>
  <c r="H374" s="1"/>
  <c r="G427"/>
  <c r="H427" s="1"/>
  <c r="G318"/>
  <c r="H318" s="1"/>
  <c r="G324"/>
  <c r="H324" s="1"/>
  <c r="G365"/>
  <c r="H365" s="1"/>
  <c r="G381"/>
  <c r="H381" s="1"/>
  <c r="G411"/>
  <c r="H411" s="1"/>
  <c r="G130"/>
  <c r="H130" s="1"/>
  <c r="G236"/>
  <c r="H236" s="1"/>
  <c r="G160"/>
  <c r="H160" s="1"/>
  <c r="G187"/>
  <c r="H187" s="1"/>
  <c r="G107"/>
  <c r="H107" s="1"/>
  <c r="G123"/>
  <c r="R76"/>
  <c r="S76" s="1"/>
  <c r="G348"/>
  <c r="H348" s="1"/>
  <c r="G295"/>
  <c r="H295" s="1"/>
  <c r="G230"/>
  <c r="H230" s="1"/>
  <c r="G193"/>
  <c r="H193" s="1"/>
  <c r="G166"/>
  <c r="H166" s="1"/>
  <c r="G387"/>
  <c r="H387" s="1"/>
  <c r="G88"/>
  <c r="H88" s="1"/>
  <c r="G228"/>
  <c r="H228" s="1"/>
  <c r="G334"/>
  <c r="H334" s="1"/>
  <c r="G195"/>
  <c r="H195" s="1"/>
  <c r="G395"/>
  <c r="H395" s="1"/>
  <c r="G96"/>
  <c r="H96" s="1"/>
  <c r="G252"/>
  <c r="H252" s="1"/>
  <c r="G288"/>
  <c r="H288" s="1"/>
  <c r="G392"/>
  <c r="H392" s="1"/>
  <c r="G176"/>
  <c r="H176" s="1"/>
  <c r="G400"/>
  <c r="H400" s="1"/>
  <c r="G277"/>
  <c r="H277" s="1"/>
  <c r="G109"/>
  <c r="H109" s="1"/>
  <c r="G278"/>
  <c r="H278" s="1"/>
  <c r="G309"/>
  <c r="H309" s="1"/>
  <c r="G316"/>
  <c r="H316" s="1"/>
  <c r="G174"/>
  <c r="H174" s="1"/>
  <c r="G416"/>
  <c r="H416" s="1"/>
  <c r="G255"/>
  <c r="H255" s="1"/>
  <c r="C25" i="16"/>
  <c r="C26" s="1"/>
  <c r="L24" i="11" l="1"/>
  <c r="K14"/>
  <c r="L14" s="1"/>
  <c r="I73" i="13"/>
  <c r="J73" s="1"/>
  <c r="K73" s="1"/>
  <c r="B75"/>
  <c r="D74"/>
  <c r="C74"/>
  <c r="G74"/>
  <c r="F74"/>
  <c r="E74"/>
  <c r="T74"/>
  <c r="R73"/>
  <c r="B26" i="15"/>
  <c r="P4" i="1"/>
  <c r="I13" i="15"/>
  <c r="I17" s="1"/>
  <c r="H14" s="1"/>
  <c r="I20" s="1"/>
  <c r="J12"/>
  <c r="I14" s="1"/>
  <c r="P18"/>
  <c r="P19" s="1"/>
  <c r="J20" s="1"/>
  <c r="I11"/>
  <c r="I12"/>
  <c r="H91" i="17"/>
  <c r="AC92"/>
  <c r="Q136"/>
  <c r="AH133"/>
  <c r="X22" i="2"/>
  <c r="N97" i="18"/>
  <c r="N99" s="1"/>
  <c r="N100" s="1"/>
  <c r="O94" s="1"/>
  <c r="R33" i="2"/>
  <c r="T14" s="1"/>
  <c r="U31"/>
  <c r="U32" s="1"/>
  <c r="G7" i="8"/>
  <c r="I7" s="1"/>
  <c r="H25" i="11"/>
  <c r="AM12" i="17"/>
  <c r="AM14" s="1"/>
  <c r="AP14" s="1"/>
  <c r="V8" i="2"/>
  <c r="M121" i="18"/>
  <c r="M122" s="1"/>
  <c r="B20" i="4"/>
  <c r="H12" s="1"/>
  <c r="K10" s="1"/>
  <c r="B19"/>
  <c r="H11" s="1"/>
  <c r="J10" s="1"/>
  <c r="F61" i="16"/>
  <c r="F62" s="1"/>
  <c r="F63" s="1"/>
  <c r="AE30" i="17"/>
  <c r="AG30" s="1"/>
  <c r="AJ30" s="1"/>
  <c r="AK30" s="1"/>
  <c r="AL30" s="1"/>
  <c r="E14" i="16"/>
  <c r="C14" s="1"/>
  <c r="G14" s="1"/>
  <c r="K1" i="2"/>
  <c r="Q3" s="1"/>
  <c r="N4" s="1"/>
  <c r="B14" i="1"/>
  <c r="H6" i="2"/>
  <c r="L3" s="1"/>
  <c r="B37"/>
  <c r="BJ74" i="17"/>
  <c r="J20" i="18"/>
  <c r="W15"/>
  <c r="Y15" s="1"/>
  <c r="AA9" s="1"/>
  <c r="W16"/>
  <c r="Y16" s="1"/>
  <c r="X9" s="1"/>
  <c r="AG31" i="17"/>
  <c r="AD31"/>
  <c r="AH31"/>
  <c r="N71" i="18"/>
  <c r="O71" s="1"/>
  <c r="H307"/>
  <c r="P71"/>
  <c r="B33" i="11"/>
  <c r="B35" s="1"/>
  <c r="B34"/>
  <c r="B36" s="1"/>
  <c r="AI64" i="17"/>
  <c r="AG67"/>
  <c r="P72" i="18"/>
  <c r="N72"/>
  <c r="O72" s="1"/>
  <c r="H337"/>
  <c r="N68"/>
  <c r="O68" s="1"/>
  <c r="H215"/>
  <c r="P68"/>
  <c r="H63"/>
  <c r="N63"/>
  <c r="O63" s="1"/>
  <c r="P63"/>
  <c r="N65"/>
  <c r="H123"/>
  <c r="P65"/>
  <c r="U10" i="2"/>
  <c r="V9"/>
  <c r="J19" i="18"/>
  <c r="F122" s="1"/>
  <c r="H398"/>
  <c r="N74"/>
  <c r="O74" s="1"/>
  <c r="P74"/>
  <c r="H7" i="11"/>
  <c r="K15"/>
  <c r="L10" i="1"/>
  <c r="E27" i="16"/>
  <c r="D28" s="1"/>
  <c r="C27"/>
  <c r="D27"/>
  <c r="I37" i="18"/>
  <c r="E39"/>
  <c r="F39" s="1"/>
  <c r="P69"/>
  <c r="H245"/>
  <c r="N69"/>
  <c r="O69" s="1"/>
  <c r="P70"/>
  <c r="H276"/>
  <c r="N70"/>
  <c r="O70" s="1"/>
  <c r="N66"/>
  <c r="P66"/>
  <c r="H154"/>
  <c r="H94"/>
  <c r="N73"/>
  <c r="O73" s="1"/>
  <c r="P73"/>
  <c r="H368"/>
  <c r="N67"/>
  <c r="O67" s="1"/>
  <c r="P67"/>
  <c r="H184"/>
  <c r="M10" i="1"/>
  <c r="L15" i="11"/>
  <c r="AM48" i="17"/>
  <c r="E13" i="16"/>
  <c r="H74" i="13" l="1"/>
  <c r="I74" s="1"/>
  <c r="J74" s="1"/>
  <c r="K74" s="1"/>
  <c r="R74"/>
  <c r="B76"/>
  <c r="E75"/>
  <c r="D75"/>
  <c r="R75" s="1"/>
  <c r="C75"/>
  <c r="G75"/>
  <c r="F75"/>
  <c r="T75"/>
  <c r="I16" i="15"/>
  <c r="AC93" i="17"/>
  <c r="H92"/>
  <c r="T6" i="2"/>
  <c r="AA13"/>
  <c r="AH134" i="17"/>
  <c r="T13" i="2"/>
  <c r="T12"/>
  <c r="T15"/>
  <c r="T17"/>
  <c r="T9"/>
  <c r="T16"/>
  <c r="T11"/>
  <c r="T8"/>
  <c r="T10"/>
  <c r="T7"/>
  <c r="H7" i="8"/>
  <c r="H14" i="16"/>
  <c r="AH30" i="17"/>
  <c r="AH32" s="1"/>
  <c r="AJ36" s="1"/>
  <c r="Q93" i="18"/>
  <c r="R93"/>
  <c r="Q65" s="1"/>
  <c r="AD30" i="17"/>
  <c r="N103" i="18"/>
  <c r="O103" s="1"/>
  <c r="S93" s="1"/>
  <c r="A102" s="1"/>
  <c r="C30" i="15" s="1"/>
  <c r="H25" s="1"/>
  <c r="G64" i="16"/>
  <c r="F64"/>
  <c r="B43" i="2"/>
  <c r="B44" s="1"/>
  <c r="H11" s="1"/>
  <c r="B39"/>
  <c r="B41" s="1"/>
  <c r="H10" s="1"/>
  <c r="B37" i="11"/>
  <c r="B38" s="1"/>
  <c r="B40" s="1"/>
  <c r="F35" s="1"/>
  <c r="B15" i="1"/>
  <c r="R3" i="2"/>
  <c r="AJ31" i="17"/>
  <c r="AK31" s="1"/>
  <c r="AL31" s="1"/>
  <c r="AK33" s="1"/>
  <c r="AB7" s="1"/>
  <c r="AU11" s="1"/>
  <c r="V10" i="2"/>
  <c r="U11"/>
  <c r="AK57" i="17"/>
  <c r="AE15"/>
  <c r="AW89" s="1"/>
  <c r="Y4"/>
  <c r="AB5" s="1"/>
  <c r="M15" i="11"/>
  <c r="G39" i="18"/>
  <c r="F40"/>
  <c r="C13" i="16"/>
  <c r="G13" s="1"/>
  <c r="H13"/>
  <c r="L122" i="18"/>
  <c r="G122"/>
  <c r="B77" i="13" l="1"/>
  <c r="D76"/>
  <c r="C76"/>
  <c r="G76"/>
  <c r="F76"/>
  <c r="E76"/>
  <c r="T76"/>
  <c r="H75"/>
  <c r="I75" s="1"/>
  <c r="AW104" i="17"/>
  <c r="AY89"/>
  <c r="AW90"/>
  <c r="AC94"/>
  <c r="H93"/>
  <c r="AH135"/>
  <c r="N64" i="18"/>
  <c r="O64" s="1"/>
  <c r="Z34" i="17"/>
  <c r="Z40" s="1"/>
  <c r="H122" i="18"/>
  <c r="P64"/>
  <c r="Q66"/>
  <c r="O66"/>
  <c r="C35" i="15" s="1"/>
  <c r="Q96" i="18"/>
  <c r="Q95" s="1"/>
  <c r="A101" s="1"/>
  <c r="B30" i="15" s="1"/>
  <c r="AJ37" i="17"/>
  <c r="AK37" s="1"/>
  <c r="AK35" s="1"/>
  <c r="O65" i="18"/>
  <c r="C34" i="15" s="1"/>
  <c r="B35" s="1"/>
  <c r="Z7" i="17"/>
  <c r="Z8" s="1"/>
  <c r="AH9" s="1"/>
  <c r="AW91" s="1"/>
  <c r="H18" i="2"/>
  <c r="J9" s="1"/>
  <c r="AQ89" i="17"/>
  <c r="K9" i="2"/>
  <c r="B39" i="11"/>
  <c r="G35" s="1"/>
  <c r="M14" i="1" s="1"/>
  <c r="D10" i="17"/>
  <c r="AU2"/>
  <c r="AB8"/>
  <c r="AD7"/>
  <c r="M6" i="1" s="1"/>
  <c r="J63" i="18"/>
  <c r="U65"/>
  <c r="U66"/>
  <c r="F14" i="1"/>
  <c r="V66" i="18"/>
  <c r="H15" i="16"/>
  <c r="F38" s="1"/>
  <c r="G14" i="1"/>
  <c r="V65" i="18"/>
  <c r="V67" s="1"/>
  <c r="U12" i="2"/>
  <c r="V11"/>
  <c r="L14" i="1"/>
  <c r="R76" i="13" l="1"/>
  <c r="H76"/>
  <c r="I76" s="1"/>
  <c r="J76" s="1"/>
  <c r="K76" s="1"/>
  <c r="J75"/>
  <c r="K75" s="1"/>
  <c r="F77"/>
  <c r="B78"/>
  <c r="E77"/>
  <c r="D77"/>
  <c r="C77"/>
  <c r="G77"/>
  <c r="T77"/>
  <c r="R77"/>
  <c r="AW105" i="17"/>
  <c r="AY90"/>
  <c r="AW92"/>
  <c r="AW106"/>
  <c r="AY91"/>
  <c r="AC95"/>
  <c r="H94"/>
  <c r="AH136"/>
  <c r="S65" i="18"/>
  <c r="B34" i="15"/>
  <c r="Z46" i="17"/>
  <c r="AC46" s="1"/>
  <c r="AD46" s="1"/>
  <c r="Z54"/>
  <c r="AC54" s="1"/>
  <c r="AD54" s="1"/>
  <c r="Z43"/>
  <c r="AA44" s="1"/>
  <c r="P56"/>
  <c r="Q57" s="1"/>
  <c r="AC35"/>
  <c r="AC36" s="1"/>
  <c r="AC34"/>
  <c r="AD34" s="1"/>
  <c r="Z37"/>
  <c r="A96" i="18"/>
  <c r="S66"/>
  <c r="H35" i="11"/>
  <c r="AK36" i="17"/>
  <c r="Z9"/>
  <c r="Z10" s="1"/>
  <c r="Z11" s="1"/>
  <c r="Z49" s="1"/>
  <c r="E10"/>
  <c r="F10" s="1"/>
  <c r="AQ91"/>
  <c r="W64" i="18"/>
  <c r="W65" s="1"/>
  <c r="A106" s="1"/>
  <c r="AQ90" i="17"/>
  <c r="F24" i="1"/>
  <c r="F41" i="16"/>
  <c r="F40" s="1"/>
  <c r="F42" s="1"/>
  <c r="F43" s="1"/>
  <c r="F37"/>
  <c r="F36"/>
  <c r="F34"/>
  <c r="F35"/>
  <c r="F39"/>
  <c r="AB9" i="17"/>
  <c r="D16"/>
  <c r="E16" s="1"/>
  <c r="J94" i="18"/>
  <c r="AD8" i="17"/>
  <c r="A77" i="18"/>
  <c r="M7" i="1" s="1"/>
  <c r="AX12" i="17"/>
  <c r="AX2"/>
  <c r="AY2" s="1"/>
  <c r="V12" i="2"/>
  <c r="U13"/>
  <c r="AC40" i="17"/>
  <c r="AA41"/>
  <c r="C59"/>
  <c r="B59" s="1"/>
  <c r="AB41"/>
  <c r="K63" i="18"/>
  <c r="J64"/>
  <c r="H77" i="13" l="1"/>
  <c r="I77" s="1"/>
  <c r="J77" s="1"/>
  <c r="K77" s="1"/>
  <c r="B79"/>
  <c r="E78"/>
  <c r="D78"/>
  <c r="C78"/>
  <c r="G78"/>
  <c r="F78"/>
  <c r="T78"/>
  <c r="B29" i="15"/>
  <c r="P7" i="1"/>
  <c r="H95" i="17"/>
  <c r="AC96"/>
  <c r="AY92"/>
  <c r="AW107"/>
  <c r="AW93"/>
  <c r="AC37"/>
  <c r="AD37" s="1"/>
  <c r="AD36"/>
  <c r="AH137"/>
  <c r="AD35"/>
  <c r="Z44"/>
  <c r="AD44" s="1"/>
  <c r="H59"/>
  <c r="G62" s="1"/>
  <c r="F62" s="1"/>
  <c r="L53"/>
  <c r="O53" s="1"/>
  <c r="F20" i="1" s="1"/>
  <c r="F18" s="1"/>
  <c r="R52" i="17"/>
  <c r="C56"/>
  <c r="Z55"/>
  <c r="AC55" s="1"/>
  <c r="AD55" s="1"/>
  <c r="H56"/>
  <c r="L56" s="1"/>
  <c r="AC43"/>
  <c r="AD43" s="1"/>
  <c r="Z38"/>
  <c r="AC38" s="1"/>
  <c r="AE13"/>
  <c r="Z12"/>
  <c r="Z13" s="1"/>
  <c r="Z14" s="1"/>
  <c r="AF61" s="1"/>
  <c r="G10"/>
  <c r="BD87"/>
  <c r="BH87" s="1"/>
  <c r="BI87" s="1"/>
  <c r="O99" i="18"/>
  <c r="B31" i="15"/>
  <c r="F16" i="17"/>
  <c r="AQ92"/>
  <c r="AU1"/>
  <c r="A74" i="18" s="1"/>
  <c r="AR36" i="17"/>
  <c r="AQ36" s="1"/>
  <c r="AR35"/>
  <c r="AQ35" s="1"/>
  <c r="U14" i="2"/>
  <c r="V13"/>
  <c r="F28" i="1"/>
  <c r="F21"/>
  <c r="F23"/>
  <c r="F22"/>
  <c r="F25"/>
  <c r="F26" s="1"/>
  <c r="A79" i="18"/>
  <c r="AT82" i="17"/>
  <c r="K94" i="18"/>
  <c r="J95"/>
  <c r="K64"/>
  <c r="J65"/>
  <c r="AD9" i="17"/>
  <c r="J123" i="18"/>
  <c r="D22" i="17"/>
  <c r="AB10"/>
  <c r="B24" i="15"/>
  <c r="I32" s="1"/>
  <c r="H24" s="1"/>
  <c r="AE44" i="17" l="1"/>
  <c r="R78" i="13"/>
  <c r="H78"/>
  <c r="I78" s="1"/>
  <c r="J78" s="1"/>
  <c r="K78" s="1"/>
  <c r="B80"/>
  <c r="C79"/>
  <c r="G79"/>
  <c r="F79"/>
  <c r="E79"/>
  <c r="D79"/>
  <c r="T79"/>
  <c r="F27" i="1"/>
  <c r="F30" s="1"/>
  <c r="F31" s="1"/>
  <c r="F29"/>
  <c r="U82" i="18"/>
  <c r="V82" s="1"/>
  <c r="P2" i="1"/>
  <c r="D86" i="17"/>
  <c r="M4" i="1"/>
  <c r="AY93" i="17"/>
  <c r="AW108"/>
  <c r="AW94"/>
  <c r="AC97"/>
  <c r="H96"/>
  <c r="AH138"/>
  <c r="C53"/>
  <c r="D54" s="1"/>
  <c r="G59"/>
  <c r="S125"/>
  <c r="S124" s="1"/>
  <c r="S126" s="1"/>
  <c r="AM35"/>
  <c r="Z58"/>
  <c r="AC58" s="1"/>
  <c r="BE87"/>
  <c r="BF87" s="1"/>
  <c r="AK40"/>
  <c r="AJ40" s="1"/>
  <c r="BC87"/>
  <c r="BB87" s="1"/>
  <c r="R62"/>
  <c r="BG87" s="1"/>
  <c r="BJ87" s="1"/>
  <c r="BK87" s="1"/>
  <c r="AP36"/>
  <c r="AP35"/>
  <c r="AO35" s="1"/>
  <c r="AN35" s="1"/>
  <c r="B23" i="15"/>
  <c r="B19" s="1"/>
  <c r="AR34" i="17"/>
  <c r="AS34" s="1"/>
  <c r="AS35" s="1"/>
  <c r="Z15"/>
  <c r="Z16" s="1"/>
  <c r="Z17" s="1"/>
  <c r="Z18" s="1"/>
  <c r="H10"/>
  <c r="A75" i="18"/>
  <c r="A19" i="15" s="1"/>
  <c r="G16" i="17"/>
  <c r="AX87"/>
  <c r="E22"/>
  <c r="AQ93"/>
  <c r="K65" i="18"/>
  <c r="J66"/>
  <c r="AZ65" i="17"/>
  <c r="AZ71"/>
  <c r="AY62"/>
  <c r="AZ69"/>
  <c r="AY71"/>
  <c r="AY65"/>
  <c r="AZ66"/>
  <c r="AY63"/>
  <c r="AY73"/>
  <c r="AZ70"/>
  <c r="AZ62"/>
  <c r="AZ64"/>
  <c r="AZ61"/>
  <c r="AY61"/>
  <c r="AZ67"/>
  <c r="AY64"/>
  <c r="AY76"/>
  <c r="AZ63"/>
  <c r="AY66"/>
  <c r="AZ60"/>
  <c r="AY69"/>
  <c r="AY68"/>
  <c r="AY70"/>
  <c r="AY67"/>
  <c r="AZ75"/>
  <c r="AZ76"/>
  <c r="AY74"/>
  <c r="AZ74"/>
  <c r="AY60"/>
  <c r="AY72"/>
  <c r="AZ73"/>
  <c r="AZ68"/>
  <c r="AZ77"/>
  <c r="AY75"/>
  <c r="AZ78"/>
  <c r="AZ72"/>
  <c r="AY78"/>
  <c r="AY77"/>
  <c r="D28"/>
  <c r="E28" s="1"/>
  <c r="AB11"/>
  <c r="AD10"/>
  <c r="K123" i="18"/>
  <c r="J124"/>
  <c r="J96"/>
  <c r="K95"/>
  <c r="V14" i="2"/>
  <c r="U15"/>
  <c r="H79" i="13" l="1"/>
  <c r="I79" s="1"/>
  <c r="J79" s="1"/>
  <c r="K79" s="1"/>
  <c r="R79"/>
  <c r="B81"/>
  <c r="F80"/>
  <c r="E80"/>
  <c r="D80"/>
  <c r="C80"/>
  <c r="G80"/>
  <c r="T80"/>
  <c r="K5" i="1"/>
  <c r="M5"/>
  <c r="N109" i="18"/>
  <c r="AJ41" i="17"/>
  <c r="AL42" s="1"/>
  <c r="AY94"/>
  <c r="AW109"/>
  <c r="AW95"/>
  <c r="AC98"/>
  <c r="H97"/>
  <c r="AO36"/>
  <c r="AN36" s="1"/>
  <c r="AM36" s="1"/>
  <c r="AH139"/>
  <c r="C23" i="15"/>
  <c r="B52" i="17"/>
  <c r="AA31"/>
  <c r="AB31" s="1"/>
  <c r="AZ87"/>
  <c r="BA87" s="1"/>
  <c r="AY87" s="1"/>
  <c r="AI42"/>
  <c r="AI43" s="1"/>
  <c r="Q59"/>
  <c r="AH39" s="1"/>
  <c r="P62"/>
  <c r="AD40"/>
  <c r="AE39" s="1"/>
  <c r="I10"/>
  <c r="J10" s="1"/>
  <c r="D11" s="1"/>
  <c r="E11" s="1"/>
  <c r="F11" s="1"/>
  <c r="G11" s="1"/>
  <c r="H11" s="1"/>
  <c r="I11" s="1"/>
  <c r="J11" s="1"/>
  <c r="D12" s="1"/>
  <c r="E12" s="1"/>
  <c r="F12" s="1"/>
  <c r="G12" s="1"/>
  <c r="H12" s="1"/>
  <c r="I12" s="1"/>
  <c r="H16"/>
  <c r="I16" s="1"/>
  <c r="F22"/>
  <c r="AQ94"/>
  <c r="K124" i="18"/>
  <c r="J125"/>
  <c r="BA78" i="17"/>
  <c r="BC78"/>
  <c r="BA67"/>
  <c r="BC67"/>
  <c r="BC66"/>
  <c r="BA66"/>
  <c r="V15" i="2"/>
  <c r="U16"/>
  <c r="BC72" i="17"/>
  <c r="BA72"/>
  <c r="AZ81"/>
  <c r="BA81" s="1"/>
  <c r="BC68"/>
  <c r="BA68"/>
  <c r="BA74"/>
  <c r="BC74"/>
  <c r="BA60"/>
  <c r="BC60"/>
  <c r="BA64"/>
  <c r="BC64"/>
  <c r="BA69"/>
  <c r="BC69"/>
  <c r="J67" i="18"/>
  <c r="K66"/>
  <c r="D34" i="17"/>
  <c r="AD11"/>
  <c r="AB12"/>
  <c r="AB49"/>
  <c r="BC76"/>
  <c r="BA76"/>
  <c r="BC63"/>
  <c r="BA63"/>
  <c r="BC70"/>
  <c r="BA70"/>
  <c r="BC71"/>
  <c r="BA71"/>
  <c r="BA73"/>
  <c r="BC73"/>
  <c r="BA62"/>
  <c r="BC62"/>
  <c r="F19" i="15"/>
  <c r="C19"/>
  <c r="J97" i="18"/>
  <c r="K96"/>
  <c r="BC77" i="17"/>
  <c r="BA77"/>
  <c r="BA75"/>
  <c r="BC75"/>
  <c r="BA61"/>
  <c r="BC61"/>
  <c r="BA65"/>
  <c r="BC65"/>
  <c r="F28"/>
  <c r="G28" s="1"/>
  <c r="R80" i="13" l="1"/>
  <c r="B82"/>
  <c r="D81"/>
  <c r="C81"/>
  <c r="R81" s="1"/>
  <c r="G81"/>
  <c r="F81"/>
  <c r="E81"/>
  <c r="T81"/>
  <c r="I80"/>
  <c r="J80" s="1"/>
  <c r="K80" s="1"/>
  <c r="H80"/>
  <c r="AL41" i="17"/>
  <c r="AY95"/>
  <c r="AW110"/>
  <c r="AW96"/>
  <c r="AC99"/>
  <c r="H98"/>
  <c r="AH140"/>
  <c r="Z31"/>
  <c r="AC30" s="1"/>
  <c r="P59"/>
  <c r="AE41"/>
  <c r="AF40" s="1"/>
  <c r="J16"/>
  <c r="D17" s="1"/>
  <c r="E17" s="1"/>
  <c r="F17" s="1"/>
  <c r="G17" s="1"/>
  <c r="H17" s="1"/>
  <c r="I17" s="1"/>
  <c r="J17" s="1"/>
  <c r="D18" s="1"/>
  <c r="E18" s="1"/>
  <c r="F18" s="1"/>
  <c r="G18" s="1"/>
  <c r="H18" s="1"/>
  <c r="I18" s="1"/>
  <c r="J18" s="1"/>
  <c r="D19" s="1"/>
  <c r="E19" s="1"/>
  <c r="F19" s="1"/>
  <c r="G19" s="1"/>
  <c r="H19" s="1"/>
  <c r="I19" s="1"/>
  <c r="J19" s="1"/>
  <c r="D20" s="1"/>
  <c r="E20" s="1"/>
  <c r="F20" s="1"/>
  <c r="G20" s="1"/>
  <c r="H20" s="1"/>
  <c r="I20" s="1"/>
  <c r="J20" s="1"/>
  <c r="E34"/>
  <c r="F34" s="1"/>
  <c r="I53"/>
  <c r="F53" s="1"/>
  <c r="J12"/>
  <c r="D13" s="1"/>
  <c r="E13" s="1"/>
  <c r="F13" s="1"/>
  <c r="G13" s="1"/>
  <c r="H13" s="1"/>
  <c r="I13" s="1"/>
  <c r="J13" s="1"/>
  <c r="D14" s="1"/>
  <c r="E14" s="1"/>
  <c r="G22"/>
  <c r="H22" s="1"/>
  <c r="H28"/>
  <c r="I28" s="1"/>
  <c r="J31" i="15"/>
  <c r="K31" s="1"/>
  <c r="L31" s="1"/>
  <c r="J32"/>
  <c r="K32" s="1"/>
  <c r="L32" s="1"/>
  <c r="AQ95" i="17"/>
  <c r="BC81"/>
  <c r="J98" i="18"/>
  <c r="K97"/>
  <c r="AF39" i="17"/>
  <c r="AF41" s="1"/>
  <c r="AI39"/>
  <c r="AG39"/>
  <c r="U17" i="2"/>
  <c r="V17" s="1"/>
  <c r="V16"/>
  <c r="K125" i="18"/>
  <c r="J126"/>
  <c r="AD12" i="17"/>
  <c r="D40"/>
  <c r="AB13"/>
  <c r="K67" i="18"/>
  <c r="J68"/>
  <c r="AI54" i="17"/>
  <c r="AI51"/>
  <c r="AI50"/>
  <c r="AI49"/>
  <c r="AI52"/>
  <c r="AI48"/>
  <c r="AI53"/>
  <c r="H81" i="13" l="1"/>
  <c r="I81" s="1"/>
  <c r="B83"/>
  <c r="F82"/>
  <c r="E82"/>
  <c r="D82"/>
  <c r="G82"/>
  <c r="C82"/>
  <c r="T82"/>
  <c r="AY96" i="17"/>
  <c r="AW111"/>
  <c r="AW97"/>
  <c r="H99"/>
  <c r="AC100"/>
  <c r="AH141"/>
  <c r="J28"/>
  <c r="D29" s="1"/>
  <c r="E29" s="1"/>
  <c r="F29" s="1"/>
  <c r="G29" s="1"/>
  <c r="H29" s="1"/>
  <c r="I29" s="1"/>
  <c r="J29" s="1"/>
  <c r="D30" s="1"/>
  <c r="E30" s="1"/>
  <c r="F30" s="1"/>
  <c r="G30" s="1"/>
  <c r="H30" s="1"/>
  <c r="I30" s="1"/>
  <c r="J30" s="1"/>
  <c r="D31" s="1"/>
  <c r="E31" s="1"/>
  <c r="F31" s="1"/>
  <c r="G31" s="1"/>
  <c r="H31" s="1"/>
  <c r="I31" s="1"/>
  <c r="J31" s="1"/>
  <c r="D32" s="1"/>
  <c r="E32" s="1"/>
  <c r="I32" s="1"/>
  <c r="AB32"/>
  <c r="I22"/>
  <c r="J22" s="1"/>
  <c r="D23" s="1"/>
  <c r="E23" s="1"/>
  <c r="F23" s="1"/>
  <c r="G23" s="1"/>
  <c r="H23" s="1"/>
  <c r="I23" s="1"/>
  <c r="J23" s="1"/>
  <c r="D24" s="1"/>
  <c r="E24" s="1"/>
  <c r="F24" s="1"/>
  <c r="G24" s="1"/>
  <c r="H24" s="1"/>
  <c r="I24" s="1"/>
  <c r="J24" s="1"/>
  <c r="D25" s="1"/>
  <c r="E25" s="1"/>
  <c r="F25" s="1"/>
  <c r="G25" s="1"/>
  <c r="H25" s="1"/>
  <c r="I25" s="1"/>
  <c r="J25" s="1"/>
  <c r="D26" s="1"/>
  <c r="E26" s="1"/>
  <c r="F26" s="1"/>
  <c r="G27" s="1"/>
  <c r="AE18"/>
  <c r="AE19" s="1"/>
  <c r="K34" i="15"/>
  <c r="L34" s="1"/>
  <c r="B21" s="1"/>
  <c r="G34" i="17"/>
  <c r="H14"/>
  <c r="I14"/>
  <c r="J14"/>
  <c r="D15" s="1"/>
  <c r="F14"/>
  <c r="G14"/>
  <c r="AQ96"/>
  <c r="AI55"/>
  <c r="AB51" s="1"/>
  <c r="AE53" s="1"/>
  <c r="X51" s="1"/>
  <c r="E40"/>
  <c r="F40" s="1"/>
  <c r="J99" i="18"/>
  <c r="K98"/>
  <c r="K68"/>
  <c r="J69"/>
  <c r="P10" i="17"/>
  <c r="AD13"/>
  <c r="AB14"/>
  <c r="J127" i="18"/>
  <c r="K126"/>
  <c r="AI40" i="17"/>
  <c r="AI38"/>
  <c r="R82" i="13" l="1"/>
  <c r="J81"/>
  <c r="K81" s="1"/>
  <c r="H82"/>
  <c r="I82" s="1"/>
  <c r="J82" s="1"/>
  <c r="K82" s="1"/>
  <c r="B84"/>
  <c r="D83"/>
  <c r="C83"/>
  <c r="G83"/>
  <c r="F83"/>
  <c r="E83"/>
  <c r="H83" s="1"/>
  <c r="T83"/>
  <c r="AC101" i="17"/>
  <c r="H100"/>
  <c r="AY97"/>
  <c r="AW112"/>
  <c r="AW98"/>
  <c r="AH142"/>
  <c r="H32"/>
  <c r="G32"/>
  <c r="F32"/>
  <c r="J32"/>
  <c r="D33" s="1"/>
  <c r="E33" s="1"/>
  <c r="F33" s="1"/>
  <c r="G33" s="1"/>
  <c r="H33" s="1"/>
  <c r="I33" s="1"/>
  <c r="J33" s="1"/>
  <c r="F27"/>
  <c r="J26"/>
  <c r="D27" s="1"/>
  <c r="E27" s="1"/>
  <c r="I26"/>
  <c r="J27" s="1"/>
  <c r="G26"/>
  <c r="H27" s="1"/>
  <c r="H26"/>
  <c r="I27" s="1"/>
  <c r="H34"/>
  <c r="AB50"/>
  <c r="AC49" s="1"/>
  <c r="C15"/>
  <c r="C16" s="1"/>
  <c r="C17" s="1"/>
  <c r="C18" s="1"/>
  <c r="C19" s="1"/>
  <c r="C20" s="1"/>
  <c r="C21" s="1"/>
  <c r="C22" s="1"/>
  <c r="C23" s="1"/>
  <c r="C24" s="1"/>
  <c r="C25" s="1"/>
  <c r="C26" s="1"/>
  <c r="E15"/>
  <c r="F15" s="1"/>
  <c r="G15" s="1"/>
  <c r="H15" s="1"/>
  <c r="I15" s="1"/>
  <c r="J15" s="1"/>
  <c r="Q10"/>
  <c r="R10" s="1"/>
  <c r="S10" s="1"/>
  <c r="G40"/>
  <c r="H40" s="1"/>
  <c r="I40" s="1"/>
  <c r="AQ97"/>
  <c r="AI56"/>
  <c r="AI57" s="1"/>
  <c r="AH61"/>
  <c r="P16"/>
  <c r="Q16" s="1"/>
  <c r="AB15"/>
  <c r="AD14"/>
  <c r="K69" i="18"/>
  <c r="J70"/>
  <c r="J100"/>
  <c r="K99"/>
  <c r="K127"/>
  <c r="J128"/>
  <c r="I83" i="13" l="1"/>
  <c r="J83" s="1"/>
  <c r="K83" s="1"/>
  <c r="R83"/>
  <c r="B85"/>
  <c r="C84"/>
  <c r="G84"/>
  <c r="F84"/>
  <c r="E84"/>
  <c r="H84" s="1"/>
  <c r="D84"/>
  <c r="T84"/>
  <c r="AY98" i="17"/>
  <c r="AW113"/>
  <c r="AW99"/>
  <c r="AC102"/>
  <c r="H101"/>
  <c r="AH144"/>
  <c r="AH143"/>
  <c r="C27"/>
  <c r="C28" s="1"/>
  <c r="C29" s="1"/>
  <c r="C30" s="1"/>
  <c r="C31" s="1"/>
  <c r="C32" s="1"/>
  <c r="C33" s="1"/>
  <c r="C34" s="1"/>
  <c r="C35" s="1"/>
  <c r="C36" s="1"/>
  <c r="C37" s="1"/>
  <c r="C38" s="1"/>
  <c r="I34"/>
  <c r="J34" s="1"/>
  <c r="D35" s="1"/>
  <c r="E35" s="1"/>
  <c r="F35" s="1"/>
  <c r="G35" s="1"/>
  <c r="H35" s="1"/>
  <c r="I35" s="1"/>
  <c r="J35" s="1"/>
  <c r="D36" s="1"/>
  <c r="E36" s="1"/>
  <c r="F36" s="1"/>
  <c r="G36" s="1"/>
  <c r="H36" s="1"/>
  <c r="I36" s="1"/>
  <c r="J36" s="1"/>
  <c r="D37" s="1"/>
  <c r="E37" s="1"/>
  <c r="F37" s="1"/>
  <c r="G37" s="1"/>
  <c r="H37" s="1"/>
  <c r="I37" s="1"/>
  <c r="J37" s="1"/>
  <c r="D38" s="1"/>
  <c r="E38" s="1"/>
  <c r="G38" s="1"/>
  <c r="AE52"/>
  <c r="X50" s="1"/>
  <c r="J40"/>
  <c r="D41" s="1"/>
  <c r="E41" s="1"/>
  <c r="F41" s="1"/>
  <c r="G41" s="1"/>
  <c r="H41" s="1"/>
  <c r="I41" s="1"/>
  <c r="J41" s="1"/>
  <c r="D42" s="1"/>
  <c r="E42" s="1"/>
  <c r="F42" s="1"/>
  <c r="G42" s="1"/>
  <c r="H42" s="1"/>
  <c r="I42" s="1"/>
  <c r="J42" s="1"/>
  <c r="D43" s="1"/>
  <c r="E43" s="1"/>
  <c r="F43" s="1"/>
  <c r="G43" s="1"/>
  <c r="H43" s="1"/>
  <c r="I43" s="1"/>
  <c r="J43" s="1"/>
  <c r="D44" s="1"/>
  <c r="E44" s="1"/>
  <c r="T10"/>
  <c r="AQ98"/>
  <c r="AE50"/>
  <c r="AF50"/>
  <c r="J71" i="18"/>
  <c r="K70"/>
  <c r="AM66" i="17"/>
  <c r="AM60"/>
  <c r="AM64"/>
  <c r="AM62"/>
  <c r="AM63"/>
  <c r="AM61"/>
  <c r="AM65"/>
  <c r="P22"/>
  <c r="AD15"/>
  <c r="AB16"/>
  <c r="K128" i="18"/>
  <c r="J129"/>
  <c r="K100"/>
  <c r="J101"/>
  <c r="R16" i="17"/>
  <c r="R84" i="13" l="1"/>
  <c r="E85"/>
  <c r="D85"/>
  <c r="C85"/>
  <c r="G85"/>
  <c r="F85"/>
  <c r="B86"/>
  <c r="T85"/>
  <c r="I84"/>
  <c r="J84" s="1"/>
  <c r="K84" s="1"/>
  <c r="AY99" i="17"/>
  <c r="AW114"/>
  <c r="AW100"/>
  <c r="AC103"/>
  <c r="H102"/>
  <c r="F38"/>
  <c r="H38"/>
  <c r="I38"/>
  <c r="J38"/>
  <c r="D39" s="1"/>
  <c r="E39" s="1"/>
  <c r="F39" s="1"/>
  <c r="G39" s="1"/>
  <c r="H39" s="1"/>
  <c r="I39" s="1"/>
  <c r="J39" s="1"/>
  <c r="G44"/>
  <c r="H44"/>
  <c r="J44"/>
  <c r="D45" s="1"/>
  <c r="I44"/>
  <c r="F44"/>
  <c r="U10"/>
  <c r="V10" s="1"/>
  <c r="P11" s="1"/>
  <c r="Q11" s="1"/>
  <c r="R11" s="1"/>
  <c r="S11" s="1"/>
  <c r="T11" s="1"/>
  <c r="U11" s="1"/>
  <c r="V11" s="1"/>
  <c r="P12" s="1"/>
  <c r="Q12" s="1"/>
  <c r="R12" s="1"/>
  <c r="S12" s="1"/>
  <c r="T12" s="1"/>
  <c r="U12" s="1"/>
  <c r="V12" s="1"/>
  <c r="P13" s="1"/>
  <c r="Q13" s="1"/>
  <c r="R13" s="1"/>
  <c r="S13" s="1"/>
  <c r="T13" s="1"/>
  <c r="U13" s="1"/>
  <c r="V13" s="1"/>
  <c r="P14" s="1"/>
  <c r="Q14" s="1"/>
  <c r="S16"/>
  <c r="T16" s="1"/>
  <c r="AQ99"/>
  <c r="J72" i="18"/>
  <c r="K71"/>
  <c r="K101"/>
  <c r="J102"/>
  <c r="Q22" i="17"/>
  <c r="R22" s="1"/>
  <c r="S22" s="1"/>
  <c r="AM67"/>
  <c r="K129" i="18"/>
  <c r="J130"/>
  <c r="P28" i="17"/>
  <c r="Q28" s="1"/>
  <c r="AD16"/>
  <c r="AB17"/>
  <c r="R85" i="13" l="1"/>
  <c r="H85"/>
  <c r="I85" s="1"/>
  <c r="J85" s="1"/>
  <c r="K85" s="1"/>
  <c r="B87"/>
  <c r="C86"/>
  <c r="G86"/>
  <c r="F86"/>
  <c r="E86"/>
  <c r="D86"/>
  <c r="T86"/>
  <c r="AW115" i="17"/>
  <c r="AY100"/>
  <c r="H103"/>
  <c r="AC104"/>
  <c r="C39"/>
  <c r="C40" s="1"/>
  <c r="C41" s="1"/>
  <c r="C42" s="1"/>
  <c r="C43" s="1"/>
  <c r="C44" s="1"/>
  <c r="C45" s="1"/>
  <c r="O10" s="1"/>
  <c r="O11" s="1"/>
  <c r="O12" s="1"/>
  <c r="O13" s="1"/>
  <c r="O14" s="1"/>
  <c r="U16"/>
  <c r="V16" s="1"/>
  <c r="P17" s="1"/>
  <c r="Q17" s="1"/>
  <c r="R17" s="1"/>
  <c r="S17" s="1"/>
  <c r="T17" s="1"/>
  <c r="U17" s="1"/>
  <c r="V17" s="1"/>
  <c r="P18" s="1"/>
  <c r="Q18" s="1"/>
  <c r="R18" s="1"/>
  <c r="S18" s="1"/>
  <c r="T18" s="1"/>
  <c r="U18" s="1"/>
  <c r="V18" s="1"/>
  <c r="P19" s="1"/>
  <c r="Q19" s="1"/>
  <c r="R19" s="1"/>
  <c r="S19" s="1"/>
  <c r="T19" s="1"/>
  <c r="U19" s="1"/>
  <c r="V19" s="1"/>
  <c r="P20" s="1"/>
  <c r="Q20" s="1"/>
  <c r="U20" s="1"/>
  <c r="T22"/>
  <c r="U22" s="1"/>
  <c r="U14"/>
  <c r="V14"/>
  <c r="P15" s="1"/>
  <c r="R14"/>
  <c r="S14"/>
  <c r="T14"/>
  <c r="E45"/>
  <c r="F45" s="1"/>
  <c r="G45" s="1"/>
  <c r="H45" s="1"/>
  <c r="I45" s="1"/>
  <c r="J45" s="1"/>
  <c r="AM68"/>
  <c r="AM52"/>
  <c r="AQ100"/>
  <c r="K130" i="18"/>
  <c r="J131"/>
  <c r="R28" i="17"/>
  <c r="S28" s="1"/>
  <c r="T28" s="1"/>
  <c r="K102" i="18"/>
  <c r="J103"/>
  <c r="J73"/>
  <c r="K72"/>
  <c r="P34" i="17"/>
  <c r="AD17"/>
  <c r="AB18"/>
  <c r="V22"/>
  <c r="P23" s="1"/>
  <c r="Q23" s="1"/>
  <c r="R23" s="1"/>
  <c r="S23" s="1"/>
  <c r="T23" s="1"/>
  <c r="U23" s="1"/>
  <c r="V23" s="1"/>
  <c r="P24" s="1"/>
  <c r="Q24" s="1"/>
  <c r="R24" s="1"/>
  <c r="S24" s="1"/>
  <c r="T24" s="1"/>
  <c r="U24" s="1"/>
  <c r="V24" s="1"/>
  <c r="P25" s="1"/>
  <c r="Q25" s="1"/>
  <c r="R25" s="1"/>
  <c r="S25" s="1"/>
  <c r="T25" s="1"/>
  <c r="U25" s="1"/>
  <c r="V25" s="1"/>
  <c r="P26" s="1"/>
  <c r="Q26" s="1"/>
  <c r="H86" i="13" l="1"/>
  <c r="B88"/>
  <c r="D87"/>
  <c r="C87"/>
  <c r="G87"/>
  <c r="F87"/>
  <c r="E87"/>
  <c r="H87" s="1"/>
  <c r="T87"/>
  <c r="R86"/>
  <c r="AC105" i="17"/>
  <c r="H104"/>
  <c r="R20"/>
  <c r="S20"/>
  <c r="V20"/>
  <c r="P21" s="1"/>
  <c r="Q21" s="1"/>
  <c r="R21" s="1"/>
  <c r="S21" s="1"/>
  <c r="T21" s="1"/>
  <c r="U21" s="1"/>
  <c r="V21" s="1"/>
  <c r="T20"/>
  <c r="U28"/>
  <c r="V28" s="1"/>
  <c r="P29" s="1"/>
  <c r="Q29" s="1"/>
  <c r="R29" s="1"/>
  <c r="S29" s="1"/>
  <c r="T29" s="1"/>
  <c r="U29" s="1"/>
  <c r="V29" s="1"/>
  <c r="P30" s="1"/>
  <c r="Q30" s="1"/>
  <c r="R30" s="1"/>
  <c r="S30" s="1"/>
  <c r="T30" s="1"/>
  <c r="U30" s="1"/>
  <c r="V30" s="1"/>
  <c r="P31" s="1"/>
  <c r="Q31" s="1"/>
  <c r="O15"/>
  <c r="O16" s="1"/>
  <c r="O17" s="1"/>
  <c r="O18" s="1"/>
  <c r="O19" s="1"/>
  <c r="O20" s="1"/>
  <c r="Q15"/>
  <c r="R15" s="1"/>
  <c r="S15" s="1"/>
  <c r="T15" s="1"/>
  <c r="U15" s="1"/>
  <c r="V15" s="1"/>
  <c r="AF65"/>
  <c r="AF63"/>
  <c r="J132" i="18"/>
  <c r="K131"/>
  <c r="Q34" i="17"/>
  <c r="R34" s="1"/>
  <c r="J74" i="18"/>
  <c r="K73"/>
  <c r="J104"/>
  <c r="K103"/>
  <c r="S26" i="17"/>
  <c r="R26"/>
  <c r="T26"/>
  <c r="U26"/>
  <c r="V26"/>
  <c r="P27" s="1"/>
  <c r="AD18"/>
  <c r="Z71"/>
  <c r="P40"/>
  <c r="R87" i="13" l="1"/>
  <c r="B89"/>
  <c r="F88"/>
  <c r="E88"/>
  <c r="D88"/>
  <c r="C88"/>
  <c r="G88"/>
  <c r="T88"/>
  <c r="I87"/>
  <c r="J87" s="1"/>
  <c r="K87" s="1"/>
  <c r="I86"/>
  <c r="J86" s="1"/>
  <c r="K86" s="1"/>
  <c r="AC106" i="17"/>
  <c r="H105"/>
  <c r="O21"/>
  <c r="O22" s="1"/>
  <c r="O23" s="1"/>
  <c r="O24" s="1"/>
  <c r="O25" s="1"/>
  <c r="O26" s="1"/>
  <c r="O27" s="1"/>
  <c r="O28" s="1"/>
  <c r="O29" s="1"/>
  <c r="O30" s="1"/>
  <c r="O31" s="1"/>
  <c r="O32" s="1"/>
  <c r="R31"/>
  <c r="S31" s="1"/>
  <c r="T31" s="1"/>
  <c r="U31" s="1"/>
  <c r="V31" s="1"/>
  <c r="P32" s="1"/>
  <c r="Q32" s="1"/>
  <c r="V32" s="1"/>
  <c r="P33" s="1"/>
  <c r="Q33" s="1"/>
  <c r="R33" s="1"/>
  <c r="S33" s="1"/>
  <c r="T33" s="1"/>
  <c r="U33" s="1"/>
  <c r="V33" s="1"/>
  <c r="AF67"/>
  <c r="AF64"/>
  <c r="AE71"/>
  <c r="BL87" s="1"/>
  <c r="F32" i="1" s="1"/>
  <c r="AD71" i="17"/>
  <c r="AA71"/>
  <c r="S34"/>
  <c r="Q27"/>
  <c r="R27" s="1"/>
  <c r="S27" s="1"/>
  <c r="T27" s="1"/>
  <c r="U27" s="1"/>
  <c r="V27" s="1"/>
  <c r="J75" i="18"/>
  <c r="K74"/>
  <c r="K132"/>
  <c r="J133"/>
  <c r="K104"/>
  <c r="J105"/>
  <c r="Q40" i="17"/>
  <c r="R88" i="13" l="1"/>
  <c r="D89"/>
  <c r="C89"/>
  <c r="G89"/>
  <c r="B90"/>
  <c r="F89"/>
  <c r="E89"/>
  <c r="T89"/>
  <c r="H88"/>
  <c r="I88" s="1"/>
  <c r="J88" s="1"/>
  <c r="K88" s="1"/>
  <c r="H106" i="17"/>
  <c r="AC107"/>
  <c r="O33"/>
  <c r="O34" s="1"/>
  <c r="O35" s="1"/>
  <c r="O36" s="1"/>
  <c r="O37" s="1"/>
  <c r="O38" s="1"/>
  <c r="R32"/>
  <c r="U32"/>
  <c r="S32"/>
  <c r="T32"/>
  <c r="AF68"/>
  <c r="AF69"/>
  <c r="T34"/>
  <c r="R40"/>
  <c r="S40" s="1"/>
  <c r="K105" i="18"/>
  <c r="J106"/>
  <c r="K133"/>
  <c r="J134"/>
  <c r="K75"/>
  <c r="J76"/>
  <c r="H89" i="13" l="1"/>
  <c r="I89" s="1"/>
  <c r="B91"/>
  <c r="C90"/>
  <c r="G90"/>
  <c r="F90"/>
  <c r="E90"/>
  <c r="D90"/>
  <c r="T90"/>
  <c r="R89"/>
  <c r="H107" i="17"/>
  <c r="AC108"/>
  <c r="U34"/>
  <c r="V34" s="1"/>
  <c r="P35" s="1"/>
  <c r="Q35" s="1"/>
  <c r="R35" s="1"/>
  <c r="S35" s="1"/>
  <c r="T35" s="1"/>
  <c r="U35" s="1"/>
  <c r="V35" s="1"/>
  <c r="P36" s="1"/>
  <c r="Q36" s="1"/>
  <c r="R36" s="1"/>
  <c r="S36" s="1"/>
  <c r="T36" s="1"/>
  <c r="U36" s="1"/>
  <c r="V36" s="1"/>
  <c r="P37" s="1"/>
  <c r="Q37" s="1"/>
  <c r="R37" s="1"/>
  <c r="S37" s="1"/>
  <c r="T37" s="1"/>
  <c r="U37" s="1"/>
  <c r="V37" s="1"/>
  <c r="P38" s="1"/>
  <c r="Q38" s="1"/>
  <c r="U38" s="1"/>
  <c r="T40"/>
  <c r="U40" s="1"/>
  <c r="K76" i="18"/>
  <c r="J77"/>
  <c r="K106"/>
  <c r="J107"/>
  <c r="K134"/>
  <c r="J135"/>
  <c r="R90" i="13" l="1"/>
  <c r="J89"/>
  <c r="K89" s="1"/>
  <c r="H90"/>
  <c r="I90" s="1"/>
  <c r="J90" s="1"/>
  <c r="K90" s="1"/>
  <c r="B92"/>
  <c r="D91"/>
  <c r="C91"/>
  <c r="G91"/>
  <c r="F91"/>
  <c r="E91"/>
  <c r="T91"/>
  <c r="AC109" i="17"/>
  <c r="H108"/>
  <c r="S38"/>
  <c r="V38"/>
  <c r="P39" s="1"/>
  <c r="O39" s="1"/>
  <c r="O40" s="1"/>
  <c r="O41" s="1"/>
  <c r="O42" s="1"/>
  <c r="O43" s="1"/>
  <c r="O44" s="1"/>
  <c r="R38"/>
  <c r="T38"/>
  <c r="V40"/>
  <c r="P41" s="1"/>
  <c r="Q41" s="1"/>
  <c r="R41" s="1"/>
  <c r="S41" s="1"/>
  <c r="T41" s="1"/>
  <c r="U41" s="1"/>
  <c r="V41" s="1"/>
  <c r="P42" s="1"/>
  <c r="Q42" s="1"/>
  <c r="R42" s="1"/>
  <c r="S42" s="1"/>
  <c r="T42" s="1"/>
  <c r="U42" s="1"/>
  <c r="V42" s="1"/>
  <c r="P43" s="1"/>
  <c r="Q43" s="1"/>
  <c r="R43" s="1"/>
  <c r="S43" s="1"/>
  <c r="T43" s="1"/>
  <c r="U43" s="1"/>
  <c r="V43" s="1"/>
  <c r="P44" s="1"/>
  <c r="Q44" s="1"/>
  <c r="U44" s="1"/>
  <c r="K135" i="18"/>
  <c r="J136"/>
  <c r="J108"/>
  <c r="K107"/>
  <c r="J78"/>
  <c r="K77"/>
  <c r="R91" i="13" l="1"/>
  <c r="H91"/>
  <c r="I91" s="1"/>
  <c r="B93"/>
  <c r="C92"/>
  <c r="G92"/>
  <c r="F92"/>
  <c r="E92"/>
  <c r="D92"/>
  <c r="T92"/>
  <c r="AC110" i="17"/>
  <c r="H109"/>
  <c r="Q39"/>
  <c r="R39" s="1"/>
  <c r="S39" s="1"/>
  <c r="T39" s="1"/>
  <c r="U39" s="1"/>
  <c r="V39" s="1"/>
  <c r="S44"/>
  <c r="V44"/>
  <c r="P45" s="1"/>
  <c r="O45" s="1"/>
  <c r="R44"/>
  <c r="T44"/>
  <c r="K136" i="18"/>
  <c r="J137"/>
  <c r="J79"/>
  <c r="K78"/>
  <c r="K108"/>
  <c r="J109"/>
  <c r="R92" i="13" l="1"/>
  <c r="J91"/>
  <c r="K91" s="1"/>
  <c r="E93"/>
  <c r="B94"/>
  <c r="D93"/>
  <c r="R93" s="1"/>
  <c r="C93"/>
  <c r="G93"/>
  <c r="F93"/>
  <c r="T93"/>
  <c r="H92"/>
  <c r="I92" s="1"/>
  <c r="J92" s="1"/>
  <c r="K92" s="1"/>
  <c r="H110" i="17"/>
  <c r="AC111"/>
  <c r="Q45"/>
  <c r="R45" s="1"/>
  <c r="S45" s="1"/>
  <c r="T45" s="1"/>
  <c r="U45" s="1"/>
  <c r="V45" s="1"/>
  <c r="J110" i="18"/>
  <c r="K109"/>
  <c r="J138"/>
  <c r="K137"/>
  <c r="J80"/>
  <c r="K79"/>
  <c r="B95" i="13" l="1"/>
  <c r="D94"/>
  <c r="C94"/>
  <c r="G94"/>
  <c r="F94"/>
  <c r="E94"/>
  <c r="T94"/>
  <c r="H93"/>
  <c r="I93" s="1"/>
  <c r="H111" i="17"/>
  <c r="AC112"/>
  <c r="K80" i="18"/>
  <c r="J81"/>
  <c r="J111"/>
  <c r="K110"/>
  <c r="K138"/>
  <c r="J139"/>
  <c r="J93" i="13" l="1"/>
  <c r="K93" s="1"/>
  <c r="B96"/>
  <c r="F95"/>
  <c r="E95"/>
  <c r="D95"/>
  <c r="G95"/>
  <c r="C95"/>
  <c r="T95"/>
  <c r="H94"/>
  <c r="I94" s="1"/>
  <c r="R94"/>
  <c r="AC113" i="17"/>
  <c r="H112"/>
  <c r="J140" i="18"/>
  <c r="K139"/>
  <c r="J82"/>
  <c r="K81"/>
  <c r="K111"/>
  <c r="J112"/>
  <c r="R95" i="13" l="1"/>
  <c r="B97"/>
  <c r="E96"/>
  <c r="D96"/>
  <c r="C96"/>
  <c r="G96"/>
  <c r="F96"/>
  <c r="T96"/>
  <c r="J94"/>
  <c r="K94" s="1"/>
  <c r="H95"/>
  <c r="AC114" i="17"/>
  <c r="H113"/>
  <c r="K140" i="18"/>
  <c r="J141"/>
  <c r="K112"/>
  <c r="J113"/>
  <c r="K82"/>
  <c r="J83"/>
  <c r="R96" i="13" l="1"/>
  <c r="H96"/>
  <c r="I96" s="1"/>
  <c r="J96" s="1"/>
  <c r="K96" s="1"/>
  <c r="B98"/>
  <c r="C97"/>
  <c r="G97"/>
  <c r="F97"/>
  <c r="E97"/>
  <c r="D97"/>
  <c r="T97"/>
  <c r="J95"/>
  <c r="K95" s="1"/>
  <c r="I95"/>
  <c r="H114" i="17"/>
  <c r="AC115"/>
  <c r="J84" i="18"/>
  <c r="K83"/>
  <c r="K141"/>
  <c r="J142"/>
  <c r="J114"/>
  <c r="K113"/>
  <c r="R97" i="13" l="1"/>
  <c r="H97"/>
  <c r="I97" s="1"/>
  <c r="J97" s="1"/>
  <c r="K97" s="1"/>
  <c r="B99"/>
  <c r="E98"/>
  <c r="D98"/>
  <c r="R98" s="1"/>
  <c r="C98"/>
  <c r="G98"/>
  <c r="F98"/>
  <c r="T98"/>
  <c r="H115" i="17"/>
  <c r="AC116"/>
  <c r="K114" i="18"/>
  <c r="J115"/>
  <c r="J85"/>
  <c r="K84"/>
  <c r="K142"/>
  <c r="J143"/>
  <c r="B100" i="13" l="1"/>
  <c r="C99"/>
  <c r="G99"/>
  <c r="F99"/>
  <c r="E99"/>
  <c r="D99"/>
  <c r="T99"/>
  <c r="H98"/>
  <c r="I98" s="1"/>
  <c r="AC117" i="17"/>
  <c r="H116"/>
  <c r="J144" i="18"/>
  <c r="K143"/>
  <c r="K115"/>
  <c r="J116"/>
  <c r="J86"/>
  <c r="K85"/>
  <c r="R99" i="13" l="1"/>
  <c r="H99"/>
  <c r="I99" s="1"/>
  <c r="J99" s="1"/>
  <c r="K99" s="1"/>
  <c r="B101"/>
  <c r="F100"/>
  <c r="E100"/>
  <c r="D100"/>
  <c r="G100"/>
  <c r="C100"/>
  <c r="T100"/>
  <c r="J98"/>
  <c r="K98" s="1"/>
  <c r="AC118" i="17"/>
  <c r="H117"/>
  <c r="K86" i="18"/>
  <c r="J87"/>
  <c r="K144"/>
  <c r="J145"/>
  <c r="K116"/>
  <c r="J117"/>
  <c r="R100" i="13" l="1"/>
  <c r="H100"/>
  <c r="D101"/>
  <c r="C101"/>
  <c r="G101"/>
  <c r="F101"/>
  <c r="B102"/>
  <c r="E101"/>
  <c r="H101" s="1"/>
  <c r="T101"/>
  <c r="I100"/>
  <c r="J100" s="1"/>
  <c r="K100" s="1"/>
  <c r="H118" i="17"/>
  <c r="AC119"/>
  <c r="K117" i="18"/>
  <c r="J118"/>
  <c r="K87"/>
  <c r="J88"/>
  <c r="J146"/>
  <c r="K145"/>
  <c r="R101" i="13" l="1"/>
  <c r="B103"/>
  <c r="F102"/>
  <c r="E102"/>
  <c r="D102"/>
  <c r="C102"/>
  <c r="G102"/>
  <c r="T102"/>
  <c r="I101"/>
  <c r="J101" s="1"/>
  <c r="K101" s="1"/>
  <c r="AC120" i="17"/>
  <c r="H119"/>
  <c r="J147" i="18"/>
  <c r="K146"/>
  <c r="J119"/>
  <c r="K118"/>
  <c r="J89"/>
  <c r="K88"/>
  <c r="H102" i="13" l="1"/>
  <c r="I102" s="1"/>
  <c r="B104"/>
  <c r="C103"/>
  <c r="G103"/>
  <c r="F103"/>
  <c r="E103"/>
  <c r="H103" s="1"/>
  <c r="D103"/>
  <c r="T103"/>
  <c r="R103"/>
  <c r="R102"/>
  <c r="AC121" i="17"/>
  <c r="H120"/>
  <c r="K89" i="18"/>
  <c r="J90"/>
  <c r="J148"/>
  <c r="K147"/>
  <c r="K119"/>
  <c r="J120"/>
  <c r="J102" i="13" l="1"/>
  <c r="K102" s="1"/>
  <c r="B105"/>
  <c r="E104"/>
  <c r="D104"/>
  <c r="C104"/>
  <c r="G104"/>
  <c r="F104"/>
  <c r="T104"/>
  <c r="I103"/>
  <c r="J103" s="1"/>
  <c r="K103" s="1"/>
  <c r="AD90" i="17"/>
  <c r="AD91" s="1"/>
  <c r="H121"/>
  <c r="K120" i="18"/>
  <c r="J121"/>
  <c r="K90"/>
  <c r="J91"/>
  <c r="K148"/>
  <c r="J149"/>
  <c r="R104" i="13" l="1"/>
  <c r="H104"/>
  <c r="C105"/>
  <c r="G105"/>
  <c r="F105"/>
  <c r="B106"/>
  <c r="E105"/>
  <c r="D105"/>
  <c r="T105"/>
  <c r="I104"/>
  <c r="J104" s="1"/>
  <c r="K104" s="1"/>
  <c r="AD92" i="17"/>
  <c r="J91"/>
  <c r="J150" i="18"/>
  <c r="K149"/>
  <c r="J122"/>
  <c r="K122" s="1"/>
  <c r="K121"/>
  <c r="K91"/>
  <c r="J92"/>
  <c r="H105" i="13" l="1"/>
  <c r="B107"/>
  <c r="F106"/>
  <c r="E106"/>
  <c r="D106"/>
  <c r="G106"/>
  <c r="C106"/>
  <c r="T106"/>
  <c r="R105"/>
  <c r="AD93" i="17"/>
  <c r="J92"/>
  <c r="K150" i="18"/>
  <c r="J151"/>
  <c r="J93"/>
  <c r="K93" s="1"/>
  <c r="K92"/>
  <c r="R106" i="13" l="1"/>
  <c r="B108"/>
  <c r="C107"/>
  <c r="G107"/>
  <c r="F107"/>
  <c r="E107"/>
  <c r="D107"/>
  <c r="T107"/>
  <c r="I105"/>
  <c r="J105" s="1"/>
  <c r="K105" s="1"/>
  <c r="H106"/>
  <c r="I106" s="1"/>
  <c r="AD94" i="17"/>
  <c r="J93"/>
  <c r="K151" i="18"/>
  <c r="J152"/>
  <c r="R107" i="13" l="1"/>
  <c r="I107"/>
  <c r="J107" s="1"/>
  <c r="K107" s="1"/>
  <c r="H107"/>
  <c r="B109"/>
  <c r="F108"/>
  <c r="E108"/>
  <c r="D108"/>
  <c r="G108"/>
  <c r="C108"/>
  <c r="T108"/>
  <c r="J106"/>
  <c r="K106" s="1"/>
  <c r="J94" i="17"/>
  <c r="AD95"/>
  <c r="J153" i="18"/>
  <c r="K152"/>
  <c r="R108" i="13" l="1"/>
  <c r="D109"/>
  <c r="B110"/>
  <c r="C109"/>
  <c r="G109"/>
  <c r="F109"/>
  <c r="E109"/>
  <c r="T109"/>
  <c r="H108"/>
  <c r="I108" s="1"/>
  <c r="J108" s="1"/>
  <c r="K108" s="1"/>
  <c r="AD96" i="17"/>
  <c r="J95"/>
  <c r="K153" i="18"/>
  <c r="J154"/>
  <c r="R109" i="13" l="1"/>
  <c r="B111"/>
  <c r="C110"/>
  <c r="G110"/>
  <c r="F110"/>
  <c r="E110"/>
  <c r="D110"/>
  <c r="T110"/>
  <c r="I109"/>
  <c r="H109"/>
  <c r="AD97" i="17"/>
  <c r="J96"/>
  <c r="K154" i="18"/>
  <c r="J155"/>
  <c r="B112" i="13" l="1"/>
  <c r="E111"/>
  <c r="H111" s="1"/>
  <c r="D111"/>
  <c r="R111" s="1"/>
  <c r="C111"/>
  <c r="G111"/>
  <c r="F111"/>
  <c r="T111"/>
  <c r="J109"/>
  <c r="K109" s="1"/>
  <c r="H110"/>
  <c r="R110"/>
  <c r="AD98" i="17"/>
  <c r="J97"/>
  <c r="J156" i="18"/>
  <c r="K155"/>
  <c r="B113" i="13" l="1"/>
  <c r="D112"/>
  <c r="C112"/>
  <c r="G112"/>
  <c r="F112"/>
  <c r="E112"/>
  <c r="T112"/>
  <c r="I111"/>
  <c r="J111" s="1"/>
  <c r="K111" s="1"/>
  <c r="I110"/>
  <c r="J110" s="1"/>
  <c r="K110" s="1"/>
  <c r="J98" i="17"/>
  <c r="AD99"/>
  <c r="K156" i="18"/>
  <c r="J157"/>
  <c r="R112" i="13" l="1"/>
  <c r="H112"/>
  <c r="B114"/>
  <c r="E113"/>
  <c r="D113"/>
  <c r="R113" s="1"/>
  <c r="C113"/>
  <c r="G113"/>
  <c r="F113"/>
  <c r="T113"/>
  <c r="I112"/>
  <c r="J112" s="1"/>
  <c r="K112" s="1"/>
  <c r="AD100" i="17"/>
  <c r="J99"/>
  <c r="K157" i="18"/>
  <c r="J158"/>
  <c r="H113" i="13" l="1"/>
  <c r="B115"/>
  <c r="C114"/>
  <c r="G114"/>
  <c r="D114"/>
  <c r="F114"/>
  <c r="E114"/>
  <c r="T114"/>
  <c r="I113"/>
  <c r="J113" s="1"/>
  <c r="K113" s="1"/>
  <c r="AD101" i="17"/>
  <c r="J100"/>
  <c r="J159" i="18"/>
  <c r="K158"/>
  <c r="H114" i="13" l="1"/>
  <c r="I114" s="1"/>
  <c r="B116"/>
  <c r="E115"/>
  <c r="C115"/>
  <c r="G115"/>
  <c r="F115"/>
  <c r="D115"/>
  <c r="T115"/>
  <c r="R114"/>
  <c r="AD102" i="17"/>
  <c r="J101"/>
  <c r="K159" i="18"/>
  <c r="J160"/>
  <c r="R115" i="13" l="1"/>
  <c r="B117"/>
  <c r="D116"/>
  <c r="C116"/>
  <c r="G116"/>
  <c r="F116"/>
  <c r="E116"/>
  <c r="H116" s="1"/>
  <c r="T116"/>
  <c r="J114"/>
  <c r="K114" s="1"/>
  <c r="I115"/>
  <c r="J115" s="1"/>
  <c r="K115" s="1"/>
  <c r="H115"/>
  <c r="J102" i="17"/>
  <c r="AD103"/>
  <c r="J161" i="18"/>
  <c r="K160"/>
  <c r="I116" i="13" l="1"/>
  <c r="J116" s="1"/>
  <c r="K116" s="1"/>
  <c r="R116"/>
  <c r="F117"/>
  <c r="B118"/>
  <c r="C117"/>
  <c r="G117"/>
  <c r="E117"/>
  <c r="D117"/>
  <c r="T117"/>
  <c r="AD104" i="17"/>
  <c r="J103"/>
  <c r="K161" i="18"/>
  <c r="J162"/>
  <c r="R117" i="13" l="1"/>
  <c r="H117"/>
  <c r="I117" s="1"/>
  <c r="J117" s="1"/>
  <c r="K117" s="1"/>
  <c r="B119"/>
  <c r="D118"/>
  <c r="G118"/>
  <c r="F118"/>
  <c r="E118"/>
  <c r="C118"/>
  <c r="T118"/>
  <c r="AD105" i="17"/>
  <c r="J104"/>
  <c r="J163" i="18"/>
  <c r="K162"/>
  <c r="H118" i="13" l="1"/>
  <c r="B120"/>
  <c r="E119"/>
  <c r="F119"/>
  <c r="D119"/>
  <c r="C119"/>
  <c r="G119"/>
  <c r="T119"/>
  <c r="R118"/>
  <c r="J105" i="17"/>
  <c r="AD106"/>
  <c r="J164" i="18"/>
  <c r="K163"/>
  <c r="J118" i="13" l="1"/>
  <c r="K118" s="1"/>
  <c r="I118"/>
  <c r="R119"/>
  <c r="B121"/>
  <c r="C120"/>
  <c r="G120"/>
  <c r="E120"/>
  <c r="D120"/>
  <c r="F120"/>
  <c r="T120"/>
  <c r="H119"/>
  <c r="J106" i="17"/>
  <c r="AD107"/>
  <c r="K164" i="18"/>
  <c r="J165"/>
  <c r="R120" i="13" l="1"/>
  <c r="J119"/>
  <c r="K119" s="1"/>
  <c r="I119"/>
  <c r="E121"/>
  <c r="B122"/>
  <c r="D121"/>
  <c r="C121"/>
  <c r="H121" s="1"/>
  <c r="G121"/>
  <c r="F121"/>
  <c r="T121"/>
  <c r="H120"/>
  <c r="I120" s="1"/>
  <c r="J120" s="1"/>
  <c r="K120" s="1"/>
  <c r="AD108" i="17"/>
  <c r="J107"/>
  <c r="K165" i="18"/>
  <c r="J166"/>
  <c r="R121" i="13" l="1"/>
  <c r="B123"/>
  <c r="D122"/>
  <c r="E122"/>
  <c r="C122"/>
  <c r="G122"/>
  <c r="F122"/>
  <c r="T122"/>
  <c r="I121"/>
  <c r="J121" s="1"/>
  <c r="K121" s="1"/>
  <c r="AD109" i="17"/>
  <c r="J108"/>
  <c r="J167" i="18"/>
  <c r="K166"/>
  <c r="R122" i="13" l="1"/>
  <c r="H122"/>
  <c r="I122" s="1"/>
  <c r="J122" s="1"/>
  <c r="K122" s="1"/>
  <c r="B124"/>
  <c r="E123"/>
  <c r="C123"/>
  <c r="G123"/>
  <c r="F123"/>
  <c r="D123"/>
  <c r="T123"/>
  <c r="J109" i="17"/>
  <c r="AD110"/>
  <c r="K167" i="18"/>
  <c r="J168"/>
  <c r="H123" i="13" l="1"/>
  <c r="R123"/>
  <c r="B125"/>
  <c r="D124"/>
  <c r="C124"/>
  <c r="R124" s="1"/>
  <c r="G124"/>
  <c r="F124"/>
  <c r="E124"/>
  <c r="H124" s="1"/>
  <c r="T124"/>
  <c r="J110" i="17"/>
  <c r="AD111"/>
  <c r="J169" i="18"/>
  <c r="K168"/>
  <c r="J123" i="13" l="1"/>
  <c r="K123" s="1"/>
  <c r="I123"/>
  <c r="B126"/>
  <c r="C125"/>
  <c r="G125"/>
  <c r="F125"/>
  <c r="E125"/>
  <c r="D125"/>
  <c r="T125"/>
  <c r="I124"/>
  <c r="J124" s="1"/>
  <c r="K124" s="1"/>
  <c r="J111" i="17"/>
  <c r="AD112"/>
  <c r="J170" i="18"/>
  <c r="K169"/>
  <c r="B127" i="13" l="1"/>
  <c r="F126"/>
  <c r="E126"/>
  <c r="D126"/>
  <c r="C126"/>
  <c r="G126"/>
  <c r="T126"/>
  <c r="H125"/>
  <c r="R125"/>
  <c r="AD113" i="17"/>
  <c r="J112"/>
  <c r="J171" i="18"/>
  <c r="K170"/>
  <c r="H126" i="13" l="1"/>
  <c r="I126" s="1"/>
  <c r="J126" s="1"/>
  <c r="K126" s="1"/>
  <c r="B128"/>
  <c r="D127"/>
  <c r="C127"/>
  <c r="R127" s="1"/>
  <c r="G127"/>
  <c r="F127"/>
  <c r="E127"/>
  <c r="T127"/>
  <c r="I125"/>
  <c r="J125" s="1"/>
  <c r="K125" s="1"/>
  <c r="R126"/>
  <c r="J113" i="17"/>
  <c r="AD114"/>
  <c r="K171" i="18"/>
  <c r="J172"/>
  <c r="H127" i="13" l="1"/>
  <c r="B129"/>
  <c r="C128"/>
  <c r="G128"/>
  <c r="F128"/>
  <c r="E128"/>
  <c r="H128" s="1"/>
  <c r="D128"/>
  <c r="T128"/>
  <c r="I127"/>
  <c r="J127" s="1"/>
  <c r="K127" s="1"/>
  <c r="J114" i="17"/>
  <c r="AD115"/>
  <c r="J173" i="18"/>
  <c r="K172"/>
  <c r="R128" i="13" l="1"/>
  <c r="B130"/>
  <c r="E129"/>
  <c r="D129"/>
  <c r="C129"/>
  <c r="G129"/>
  <c r="F129"/>
  <c r="T129"/>
  <c r="I128"/>
  <c r="J128" s="1"/>
  <c r="K128" s="1"/>
  <c r="AD116" i="17"/>
  <c r="J115"/>
  <c r="K173" i="18"/>
  <c r="J174"/>
  <c r="H129" i="13" l="1"/>
  <c r="I129" s="1"/>
  <c r="J129" s="1"/>
  <c r="K129" s="1"/>
  <c r="R129"/>
  <c r="B131"/>
  <c r="C130"/>
  <c r="G130"/>
  <c r="F130"/>
  <c r="E130"/>
  <c r="D130"/>
  <c r="T130"/>
  <c r="AD117" i="17"/>
  <c r="J116"/>
  <c r="K174" i="18"/>
  <c r="J175"/>
  <c r="B132" i="13" l="1"/>
  <c r="E131"/>
  <c r="D131"/>
  <c r="R131" s="1"/>
  <c r="C131"/>
  <c r="G131"/>
  <c r="F131"/>
  <c r="T131"/>
  <c r="H130"/>
  <c r="R130"/>
  <c r="AD118" i="17"/>
  <c r="J117"/>
  <c r="J176" i="18"/>
  <c r="K175"/>
  <c r="H131" i="13" l="1"/>
  <c r="I131" s="1"/>
  <c r="J131" s="1"/>
  <c r="K131" s="1"/>
  <c r="B133"/>
  <c r="D132"/>
  <c r="C132"/>
  <c r="G132"/>
  <c r="F132"/>
  <c r="E132"/>
  <c r="H132" s="1"/>
  <c r="T132"/>
  <c r="I130"/>
  <c r="J130" s="1"/>
  <c r="K130" s="1"/>
  <c r="J118" i="17"/>
  <c r="AD119"/>
  <c r="K176" i="18"/>
  <c r="J177"/>
  <c r="R132" i="13" l="1"/>
  <c r="I132"/>
  <c r="J132" s="1"/>
  <c r="K132" s="1"/>
  <c r="F133"/>
  <c r="E133"/>
  <c r="D133"/>
  <c r="B134"/>
  <c r="G133"/>
  <c r="C133"/>
  <c r="T133"/>
  <c r="AD120" i="17"/>
  <c r="J119"/>
  <c r="K177" i="18"/>
  <c r="J178"/>
  <c r="R133" i="13" l="1"/>
  <c r="H133"/>
  <c r="I133" s="1"/>
  <c r="J133" s="1"/>
  <c r="K133" s="1"/>
  <c r="B135"/>
  <c r="D134"/>
  <c r="C134"/>
  <c r="G134"/>
  <c r="F134"/>
  <c r="E134"/>
  <c r="T134"/>
  <c r="AE90" i="17"/>
  <c r="AE91" s="1"/>
  <c r="J120"/>
  <c r="K178" i="18"/>
  <c r="J179"/>
  <c r="H134" i="13" l="1"/>
  <c r="I134" s="1"/>
  <c r="J134" s="1"/>
  <c r="K134" s="1"/>
  <c r="B136"/>
  <c r="E135"/>
  <c r="D135"/>
  <c r="C135"/>
  <c r="G135"/>
  <c r="F135"/>
  <c r="T135"/>
  <c r="R134"/>
  <c r="AE92" i="17"/>
  <c r="L91"/>
  <c r="K179" i="18"/>
  <c r="J180"/>
  <c r="H135" i="13" l="1"/>
  <c r="I135" s="1"/>
  <c r="R135"/>
  <c r="B137"/>
  <c r="C136"/>
  <c r="G136"/>
  <c r="F136"/>
  <c r="E136"/>
  <c r="D136"/>
  <c r="T136"/>
  <c r="AE93" i="17"/>
  <c r="L92"/>
  <c r="J181" i="18"/>
  <c r="K180"/>
  <c r="J135" i="13" l="1"/>
  <c r="K135" s="1"/>
  <c r="R136"/>
  <c r="H136"/>
  <c r="B138"/>
  <c r="E137"/>
  <c r="D137"/>
  <c r="C137"/>
  <c r="G137"/>
  <c r="F137"/>
  <c r="T137"/>
  <c r="I136"/>
  <c r="J136" s="1"/>
  <c r="K136" s="1"/>
  <c r="L93" i="17"/>
  <c r="AE94"/>
  <c r="J182" i="18"/>
  <c r="K181"/>
  <c r="R137" i="13" l="1"/>
  <c r="H137"/>
  <c r="B139"/>
  <c r="D138"/>
  <c r="C138"/>
  <c r="G138"/>
  <c r="F138"/>
  <c r="E138"/>
  <c r="T138"/>
  <c r="I137"/>
  <c r="J137" s="1"/>
  <c r="K137" s="1"/>
  <c r="AE95" i="17"/>
  <c r="L94"/>
  <c r="K182" i="18"/>
  <c r="J183"/>
  <c r="B140" i="13" l="1"/>
  <c r="E139"/>
  <c r="D139"/>
  <c r="R139" s="1"/>
  <c r="C139"/>
  <c r="G139"/>
  <c r="F139"/>
  <c r="T139"/>
  <c r="H138"/>
  <c r="I138" s="1"/>
  <c r="R138"/>
  <c r="AE96" i="17"/>
  <c r="L95"/>
  <c r="K183" i="18"/>
  <c r="J184"/>
  <c r="B141" i="13" l="1"/>
  <c r="D140"/>
  <c r="C140"/>
  <c r="G140"/>
  <c r="F140"/>
  <c r="E140"/>
  <c r="T140"/>
  <c r="J138"/>
  <c r="K138" s="1"/>
  <c r="H139"/>
  <c r="I139" s="1"/>
  <c r="AE97" i="17"/>
  <c r="L96"/>
  <c r="K184" i="18"/>
  <c r="J185"/>
  <c r="H140" i="13" l="1"/>
  <c r="I140" s="1"/>
  <c r="J140" s="1"/>
  <c r="K140" s="1"/>
  <c r="R140"/>
  <c r="B142"/>
  <c r="F141"/>
  <c r="E141"/>
  <c r="D141"/>
  <c r="G141"/>
  <c r="C141"/>
  <c r="T141"/>
  <c r="J139"/>
  <c r="K139" s="1"/>
  <c r="L97" i="17"/>
  <c r="AE98"/>
  <c r="J186" i="18"/>
  <c r="K185"/>
  <c r="H141" i="13" l="1"/>
  <c r="B143"/>
  <c r="E142"/>
  <c r="D142"/>
  <c r="C142"/>
  <c r="G142"/>
  <c r="F142"/>
  <c r="T142"/>
  <c r="R141"/>
  <c r="AE99" i="17"/>
  <c r="L98"/>
  <c r="J187" i="18"/>
  <c r="K186"/>
  <c r="R142" i="13" l="1"/>
  <c r="J141"/>
  <c r="K141" s="1"/>
  <c r="I141"/>
  <c r="H142"/>
  <c r="I142" s="1"/>
  <c r="J142" s="1"/>
  <c r="K142" s="1"/>
  <c r="B144"/>
  <c r="C143"/>
  <c r="G143"/>
  <c r="F143"/>
  <c r="E143"/>
  <c r="D143"/>
  <c r="T143"/>
  <c r="AE100" i="17"/>
  <c r="L99"/>
  <c r="J188" i="18"/>
  <c r="K187"/>
  <c r="R143" i="13" l="1"/>
  <c r="H143"/>
  <c r="B145"/>
  <c r="F144"/>
  <c r="E144"/>
  <c r="D144"/>
  <c r="G144"/>
  <c r="C144"/>
  <c r="T144"/>
  <c r="I143"/>
  <c r="J143" s="1"/>
  <c r="K143" s="1"/>
  <c r="AE101" i="17"/>
  <c r="L100"/>
  <c r="J189" i="18"/>
  <c r="K188"/>
  <c r="R144" i="13" l="1"/>
  <c r="H144"/>
  <c r="I144" s="1"/>
  <c r="J144" s="1"/>
  <c r="K144" s="1"/>
  <c r="B146"/>
  <c r="D145"/>
  <c r="C145"/>
  <c r="G145"/>
  <c r="F145"/>
  <c r="E145"/>
  <c r="T145"/>
  <c r="L101" i="17"/>
  <c r="AE102"/>
  <c r="J190" i="18"/>
  <c r="K189"/>
  <c r="R145" i="13" l="1"/>
  <c r="B147"/>
  <c r="F146"/>
  <c r="E146"/>
  <c r="D146"/>
  <c r="G146"/>
  <c r="C146"/>
  <c r="H146" s="1"/>
  <c r="T146"/>
  <c r="H145"/>
  <c r="I145" s="1"/>
  <c r="AE103" i="17"/>
  <c r="L102"/>
  <c r="K190" i="18"/>
  <c r="J191"/>
  <c r="I146" i="13" l="1"/>
  <c r="J146" s="1"/>
  <c r="K146" s="1"/>
  <c r="B148"/>
  <c r="D147"/>
  <c r="C147"/>
  <c r="G147"/>
  <c r="F147"/>
  <c r="E147"/>
  <c r="T147"/>
  <c r="J145"/>
  <c r="K145" s="1"/>
  <c r="R146"/>
  <c r="AE104" i="17"/>
  <c r="L103"/>
  <c r="K191" i="18"/>
  <c r="J192"/>
  <c r="R147" i="13" l="1"/>
  <c r="B149"/>
  <c r="C148"/>
  <c r="G148"/>
  <c r="F148"/>
  <c r="E148"/>
  <c r="H148" s="1"/>
  <c r="D148"/>
  <c r="T148"/>
  <c r="H147"/>
  <c r="I147" s="1"/>
  <c r="J147" s="1"/>
  <c r="K147" s="1"/>
  <c r="AE105" i="17"/>
  <c r="L104"/>
  <c r="K192" i="18"/>
  <c r="J193"/>
  <c r="R148" i="13" l="1"/>
  <c r="E149"/>
  <c r="D149"/>
  <c r="B150"/>
  <c r="C149"/>
  <c r="G149"/>
  <c r="F149"/>
  <c r="T149"/>
  <c r="I148"/>
  <c r="J148" s="1"/>
  <c r="K148" s="1"/>
  <c r="L105" i="17"/>
  <c r="AE106"/>
  <c r="J194" i="18"/>
  <c r="K193"/>
  <c r="R149" i="13" l="1"/>
  <c r="H149"/>
  <c r="I149" s="1"/>
  <c r="J149" s="1"/>
  <c r="K149" s="1"/>
  <c r="B151"/>
  <c r="C150"/>
  <c r="G150"/>
  <c r="F150"/>
  <c r="E150"/>
  <c r="D150"/>
  <c r="T150"/>
  <c r="AE107" i="17"/>
  <c r="L106"/>
  <c r="K194" i="18"/>
  <c r="J195"/>
  <c r="R150" i="13" l="1"/>
  <c r="B152"/>
  <c r="D151"/>
  <c r="C151"/>
  <c r="G151"/>
  <c r="F151"/>
  <c r="E151"/>
  <c r="H151" s="1"/>
  <c r="T151"/>
  <c r="I150"/>
  <c r="H150"/>
  <c r="AE108" i="17"/>
  <c r="L107"/>
  <c r="J196" i="18"/>
  <c r="K195"/>
  <c r="R151" i="13" l="1"/>
  <c r="I151"/>
  <c r="J151" s="1"/>
  <c r="K151" s="1"/>
  <c r="B153"/>
  <c r="F152"/>
  <c r="E152"/>
  <c r="D152"/>
  <c r="G152"/>
  <c r="C152"/>
  <c r="T152"/>
  <c r="J150"/>
  <c r="K150" s="1"/>
  <c r="AE109" i="17"/>
  <c r="L108"/>
  <c r="K196" i="18"/>
  <c r="J197"/>
  <c r="R152" i="13" l="1"/>
  <c r="B154"/>
  <c r="D153"/>
  <c r="C153"/>
  <c r="G153"/>
  <c r="F153"/>
  <c r="E153"/>
  <c r="T153"/>
  <c r="H152"/>
  <c r="I152" s="1"/>
  <c r="J152" s="1"/>
  <c r="K152" s="1"/>
  <c r="L109" i="17"/>
  <c r="AE110"/>
  <c r="J198" i="18"/>
  <c r="K197"/>
  <c r="B155" i="13" l="1"/>
  <c r="C154"/>
  <c r="G154"/>
  <c r="F154"/>
  <c r="E154"/>
  <c r="D154"/>
  <c r="T154"/>
  <c r="H153"/>
  <c r="I153" s="1"/>
  <c r="J153" s="1"/>
  <c r="K153" s="1"/>
  <c r="R153"/>
  <c r="AE111" i="17"/>
  <c r="L110"/>
  <c r="K198" i="18"/>
  <c r="J199"/>
  <c r="R154" i="13" l="1"/>
  <c r="I154"/>
  <c r="H154"/>
  <c r="B156"/>
  <c r="D155"/>
  <c r="C155"/>
  <c r="G155"/>
  <c r="F155"/>
  <c r="E155"/>
  <c r="T155"/>
  <c r="AE112" i="17"/>
  <c r="L111"/>
  <c r="K199" i="18"/>
  <c r="J200"/>
  <c r="H155" i="13" l="1"/>
  <c r="I155" s="1"/>
  <c r="J155" s="1"/>
  <c r="K155" s="1"/>
  <c r="R155"/>
  <c r="B157"/>
  <c r="C156"/>
  <c r="G156"/>
  <c r="F156"/>
  <c r="E156"/>
  <c r="H156" s="1"/>
  <c r="D156"/>
  <c r="T156"/>
  <c r="J154"/>
  <c r="K154" s="1"/>
  <c r="AE113" i="17"/>
  <c r="L112"/>
  <c r="K200" i="18"/>
  <c r="J201"/>
  <c r="R156" i="13" l="1"/>
  <c r="B158"/>
  <c r="E157"/>
  <c r="D157"/>
  <c r="C157"/>
  <c r="G157"/>
  <c r="F157"/>
  <c r="T157"/>
  <c r="I156"/>
  <c r="J156" s="1"/>
  <c r="K156" s="1"/>
  <c r="L113" i="17"/>
  <c r="AE114"/>
  <c r="J202" i="18"/>
  <c r="K201"/>
  <c r="R157" i="13" l="1"/>
  <c r="B159"/>
  <c r="D158"/>
  <c r="C158"/>
  <c r="G158"/>
  <c r="F158"/>
  <c r="E158"/>
  <c r="T158"/>
  <c r="I157"/>
  <c r="H157"/>
  <c r="AE115" i="17"/>
  <c r="L114"/>
  <c r="J203" i="18"/>
  <c r="K202"/>
  <c r="B160" i="13" l="1"/>
  <c r="F159"/>
  <c r="E159"/>
  <c r="D159"/>
  <c r="C159"/>
  <c r="G159"/>
  <c r="T159"/>
  <c r="J157"/>
  <c r="K157" s="1"/>
  <c r="H158"/>
  <c r="R158"/>
  <c r="AE116" i="17"/>
  <c r="L115"/>
  <c r="J204" i="18"/>
  <c r="K203"/>
  <c r="R159" i="13" l="1"/>
  <c r="B161"/>
  <c r="E160"/>
  <c r="D160"/>
  <c r="C160"/>
  <c r="G160"/>
  <c r="F160"/>
  <c r="T160"/>
  <c r="J158"/>
  <c r="K158" s="1"/>
  <c r="I158"/>
  <c r="I159"/>
  <c r="H159"/>
  <c r="AE117" i="17"/>
  <c r="L116"/>
  <c r="J205" i="18"/>
  <c r="K204"/>
  <c r="H160" i="13" l="1"/>
  <c r="I160" s="1"/>
  <c r="J160" s="1"/>
  <c r="K160" s="1"/>
  <c r="R160"/>
  <c r="B162"/>
  <c r="C161"/>
  <c r="G161"/>
  <c r="F161"/>
  <c r="E161"/>
  <c r="D161"/>
  <c r="T161"/>
  <c r="J159"/>
  <c r="K159" s="1"/>
  <c r="L117" i="17"/>
  <c r="AE118"/>
  <c r="J206" i="18"/>
  <c r="K205"/>
  <c r="R161" i="13" l="1"/>
  <c r="H161"/>
  <c r="B163"/>
  <c r="E162"/>
  <c r="D162"/>
  <c r="R162" s="1"/>
  <c r="C162"/>
  <c r="G162"/>
  <c r="F162"/>
  <c r="T162"/>
  <c r="I161"/>
  <c r="J161" s="1"/>
  <c r="K161" s="1"/>
  <c r="AE119" i="17"/>
  <c r="L118"/>
  <c r="K206" i="18"/>
  <c r="J207"/>
  <c r="B164" i="13" l="1"/>
  <c r="C163"/>
  <c r="G163"/>
  <c r="F163"/>
  <c r="E163"/>
  <c r="D163"/>
  <c r="T163"/>
  <c r="H162"/>
  <c r="I162" s="1"/>
  <c r="L119" i="17"/>
  <c r="AE120"/>
  <c r="J208" i="18"/>
  <c r="K207"/>
  <c r="R163" i="13" l="1"/>
  <c r="H163"/>
  <c r="I163" s="1"/>
  <c r="J163" s="1"/>
  <c r="K163" s="1"/>
  <c r="B165"/>
  <c r="F164"/>
  <c r="E164"/>
  <c r="D164"/>
  <c r="G164"/>
  <c r="C164"/>
  <c r="T164"/>
  <c r="J162"/>
  <c r="K162" s="1"/>
  <c r="AE121" i="17"/>
  <c r="L120"/>
  <c r="K208" i="18"/>
  <c r="J209"/>
  <c r="R164" i="13" l="1"/>
  <c r="D165"/>
  <c r="B166"/>
  <c r="C165"/>
  <c r="G165"/>
  <c r="F165"/>
  <c r="E165"/>
  <c r="H165" s="1"/>
  <c r="T165"/>
  <c r="H164"/>
  <c r="I164" s="1"/>
  <c r="J164" s="1"/>
  <c r="K164" s="1"/>
  <c r="AF90" i="17"/>
  <c r="AF91" s="1"/>
  <c r="L121"/>
  <c r="K209" i="18"/>
  <c r="J210"/>
  <c r="R165" i="13" l="1"/>
  <c r="B167"/>
  <c r="F166"/>
  <c r="E166"/>
  <c r="D166"/>
  <c r="G166"/>
  <c r="C166"/>
  <c r="T166"/>
  <c r="I165"/>
  <c r="J165" s="1"/>
  <c r="K165" s="1"/>
  <c r="AF92" i="17"/>
  <c r="N91"/>
  <c r="K210" i="18"/>
  <c r="J211"/>
  <c r="H166" i="13" l="1"/>
  <c r="B168"/>
  <c r="C167"/>
  <c r="G167"/>
  <c r="F167"/>
  <c r="E167"/>
  <c r="D167"/>
  <c r="T167"/>
  <c r="I166"/>
  <c r="J166" s="1"/>
  <c r="K166" s="1"/>
  <c r="R166"/>
  <c r="N92" i="17"/>
  <c r="AF93"/>
  <c r="K211" i="18"/>
  <c r="J212"/>
  <c r="R167" i="13" l="1"/>
  <c r="I167"/>
  <c r="J167" s="1"/>
  <c r="K167" s="1"/>
  <c r="H167"/>
  <c r="B169"/>
  <c r="E168"/>
  <c r="D168"/>
  <c r="R168" s="1"/>
  <c r="C168"/>
  <c r="G168"/>
  <c r="F168"/>
  <c r="T168"/>
  <c r="AF94" i="17"/>
  <c r="N93"/>
  <c r="J213" i="18"/>
  <c r="K212"/>
  <c r="H168" i="13" l="1"/>
  <c r="I168" s="1"/>
  <c r="J168" s="1"/>
  <c r="K168" s="1"/>
  <c r="B170"/>
  <c r="C169"/>
  <c r="G169"/>
  <c r="F169"/>
  <c r="E169"/>
  <c r="D169"/>
  <c r="T169"/>
  <c r="AF95" i="17"/>
  <c r="N94"/>
  <c r="K213" i="18"/>
  <c r="J214"/>
  <c r="R169" i="13" l="1"/>
  <c r="B171"/>
  <c r="F170"/>
  <c r="E170"/>
  <c r="D170"/>
  <c r="C170"/>
  <c r="G170"/>
  <c r="T170"/>
  <c r="I169"/>
  <c r="J169" s="1"/>
  <c r="K169" s="1"/>
  <c r="H169"/>
  <c r="AF96" i="17"/>
  <c r="N95"/>
  <c r="K214" i="18"/>
  <c r="J215"/>
  <c r="H170" i="13" l="1"/>
  <c r="B172"/>
  <c r="C171"/>
  <c r="G171"/>
  <c r="F171"/>
  <c r="E171"/>
  <c r="H171" s="1"/>
  <c r="D171"/>
  <c r="T171"/>
  <c r="I170"/>
  <c r="J170" s="1"/>
  <c r="K170" s="1"/>
  <c r="R170"/>
  <c r="N96" i="17"/>
  <c r="AF97"/>
  <c r="J216" i="18"/>
  <c r="K215"/>
  <c r="R171" i="13" l="1"/>
  <c r="B173"/>
  <c r="F172"/>
  <c r="E172"/>
  <c r="D172"/>
  <c r="G172"/>
  <c r="C172"/>
  <c r="T172"/>
  <c r="J171"/>
  <c r="K171" s="1"/>
  <c r="I171"/>
  <c r="AF98" i="17"/>
  <c r="N97"/>
  <c r="K216" i="18"/>
  <c r="J217"/>
  <c r="R172" i="13" l="1"/>
  <c r="H172"/>
  <c r="I172" s="1"/>
  <c r="J172" s="1"/>
  <c r="K172" s="1"/>
  <c r="B174"/>
  <c r="D173"/>
  <c r="C173"/>
  <c r="G173"/>
  <c r="F173"/>
  <c r="E173"/>
  <c r="T173"/>
  <c r="AF99" i="17"/>
  <c r="N98"/>
  <c r="K217" i="18"/>
  <c r="J218"/>
  <c r="H173" i="13" l="1"/>
  <c r="I173" s="1"/>
  <c r="R173"/>
  <c r="B175"/>
  <c r="C174"/>
  <c r="G174"/>
  <c r="F174"/>
  <c r="E174"/>
  <c r="D174"/>
  <c r="T174"/>
  <c r="AF100" i="17"/>
  <c r="N99"/>
  <c r="K218" i="18"/>
  <c r="J219"/>
  <c r="H174" i="13" l="1"/>
  <c r="I174" s="1"/>
  <c r="J174" s="1"/>
  <c r="K174" s="1"/>
  <c r="R174"/>
  <c r="B176"/>
  <c r="E175"/>
  <c r="D175"/>
  <c r="C175"/>
  <c r="G175"/>
  <c r="F175"/>
  <c r="T175"/>
  <c r="J173"/>
  <c r="K173" s="1"/>
  <c r="N100" i="17"/>
  <c r="AF101"/>
  <c r="K219" i="18"/>
  <c r="J220"/>
  <c r="R175" i="13" l="1"/>
  <c r="B177"/>
  <c r="D176"/>
  <c r="C176"/>
  <c r="G176"/>
  <c r="F176"/>
  <c r="E176"/>
  <c r="T176"/>
  <c r="I175"/>
  <c r="J175" s="1"/>
  <c r="K175" s="1"/>
  <c r="H175"/>
  <c r="AF102" i="17"/>
  <c r="N101"/>
  <c r="J221" i="18"/>
  <c r="K220"/>
  <c r="R176" i="13" l="1"/>
  <c r="H176"/>
  <c r="B178"/>
  <c r="F177"/>
  <c r="E177"/>
  <c r="D177"/>
  <c r="G177"/>
  <c r="C177"/>
  <c r="T177"/>
  <c r="I176"/>
  <c r="J176" s="1"/>
  <c r="K176" s="1"/>
  <c r="AF103" i="17"/>
  <c r="N102"/>
  <c r="K221" i="18"/>
  <c r="J222"/>
  <c r="R177" i="13" l="1"/>
  <c r="H177"/>
  <c r="I177" s="1"/>
  <c r="B179"/>
  <c r="D178"/>
  <c r="C178"/>
  <c r="G178"/>
  <c r="F178"/>
  <c r="E178"/>
  <c r="T178"/>
  <c r="AF104" i="17"/>
  <c r="N103"/>
  <c r="J223" i="18"/>
  <c r="K222"/>
  <c r="R178" i="13" l="1"/>
  <c r="B180"/>
  <c r="F179"/>
  <c r="E179"/>
  <c r="D179"/>
  <c r="G179"/>
  <c r="C179"/>
  <c r="T179"/>
  <c r="J177"/>
  <c r="K177" s="1"/>
  <c r="H178"/>
  <c r="I178" s="1"/>
  <c r="N104" i="17"/>
  <c r="AF105"/>
  <c r="J224" i="18"/>
  <c r="K223"/>
  <c r="R179" i="13" l="1"/>
  <c r="B181"/>
  <c r="E180"/>
  <c r="D180"/>
  <c r="C180"/>
  <c r="G180"/>
  <c r="F180"/>
  <c r="T180"/>
  <c r="H179"/>
  <c r="I179" s="1"/>
  <c r="J179" s="1"/>
  <c r="K179" s="1"/>
  <c r="J178"/>
  <c r="K178" s="1"/>
  <c r="AF106" i="17"/>
  <c r="N105"/>
  <c r="K224" i="18"/>
  <c r="J225"/>
  <c r="R180" i="13" l="1"/>
  <c r="H180"/>
  <c r="B182"/>
  <c r="C181"/>
  <c r="G181"/>
  <c r="F181"/>
  <c r="E181"/>
  <c r="D181"/>
  <c r="T181"/>
  <c r="I180"/>
  <c r="J180" s="1"/>
  <c r="K180" s="1"/>
  <c r="AF107" i="17"/>
  <c r="N106"/>
  <c r="K225" i="18"/>
  <c r="J226"/>
  <c r="R181" i="13" l="1"/>
  <c r="H181"/>
  <c r="B183"/>
  <c r="E182"/>
  <c r="D182"/>
  <c r="R182" s="1"/>
  <c r="C182"/>
  <c r="G182"/>
  <c r="F182"/>
  <c r="T182"/>
  <c r="I181"/>
  <c r="J181" s="1"/>
  <c r="K181" s="1"/>
  <c r="N107" i="17"/>
  <c r="AF108"/>
  <c r="J227" i="18"/>
  <c r="K226"/>
  <c r="B184" i="13" l="1"/>
  <c r="F183"/>
  <c r="E183"/>
  <c r="D183"/>
  <c r="G183"/>
  <c r="C183"/>
  <c r="T183"/>
  <c r="H182"/>
  <c r="I182" s="1"/>
  <c r="N108" i="17"/>
  <c r="AF109"/>
  <c r="K227" i="18"/>
  <c r="J228"/>
  <c r="R183" i="13" l="1"/>
  <c r="B185"/>
  <c r="D184"/>
  <c r="C184"/>
  <c r="G184"/>
  <c r="F184"/>
  <c r="E184"/>
  <c r="H184" s="1"/>
  <c r="T184"/>
  <c r="J182"/>
  <c r="K182" s="1"/>
  <c r="I183"/>
  <c r="H183"/>
  <c r="AF110" i="17"/>
  <c r="N109"/>
  <c r="J229" i="18"/>
  <c r="K228"/>
  <c r="I184" i="13" l="1"/>
  <c r="J184" s="1"/>
  <c r="K184" s="1"/>
  <c r="R184"/>
  <c r="B186"/>
  <c r="F185"/>
  <c r="E185"/>
  <c r="D185"/>
  <c r="G185"/>
  <c r="C185"/>
  <c r="T185"/>
  <c r="J183"/>
  <c r="K183" s="1"/>
  <c r="AF111" i="17"/>
  <c r="N110"/>
  <c r="K229" i="18"/>
  <c r="J230"/>
  <c r="H185" i="13" l="1"/>
  <c r="B187"/>
  <c r="E186"/>
  <c r="D186"/>
  <c r="C186"/>
  <c r="G186"/>
  <c r="F186"/>
  <c r="T186"/>
  <c r="I185"/>
  <c r="J185" s="1"/>
  <c r="K185" s="1"/>
  <c r="R185"/>
  <c r="N111" i="17"/>
  <c r="AF112"/>
  <c r="K230" i="18"/>
  <c r="J231"/>
  <c r="R186" i="13" l="1"/>
  <c r="B188"/>
  <c r="F187"/>
  <c r="E187"/>
  <c r="D187"/>
  <c r="G187"/>
  <c r="C187"/>
  <c r="T187"/>
  <c r="I186"/>
  <c r="H186"/>
  <c r="N112" i="17"/>
  <c r="AF113"/>
  <c r="J232" i="18"/>
  <c r="K231"/>
  <c r="R187" i="13" l="1"/>
  <c r="I187"/>
  <c r="H187"/>
  <c r="B189"/>
  <c r="E188"/>
  <c r="D188"/>
  <c r="C188"/>
  <c r="G188"/>
  <c r="F188"/>
  <c r="T188"/>
  <c r="J186"/>
  <c r="K186" s="1"/>
  <c r="AF114" i="17"/>
  <c r="N113"/>
  <c r="K232" i="18"/>
  <c r="J233"/>
  <c r="R188" i="13" l="1"/>
  <c r="J187"/>
  <c r="K187" s="1"/>
  <c r="B190"/>
  <c r="C189"/>
  <c r="G189"/>
  <c r="F189"/>
  <c r="E189"/>
  <c r="D189"/>
  <c r="T189"/>
  <c r="H188"/>
  <c r="I188" s="1"/>
  <c r="J188" s="1"/>
  <c r="K188" s="1"/>
  <c r="AF115" i="17"/>
  <c r="N114"/>
  <c r="K233" i="18"/>
  <c r="J234"/>
  <c r="H189" i="13" l="1"/>
  <c r="I189" s="1"/>
  <c r="B191"/>
  <c r="F190"/>
  <c r="E190"/>
  <c r="D190"/>
  <c r="G190"/>
  <c r="C190"/>
  <c r="H190" s="1"/>
  <c r="T190"/>
  <c r="R189"/>
  <c r="AF116" i="17"/>
  <c r="N115"/>
  <c r="K234" i="18"/>
  <c r="J235"/>
  <c r="J189" i="13" l="1"/>
  <c r="K189" s="1"/>
  <c r="B192"/>
  <c r="D191"/>
  <c r="C191"/>
  <c r="G191"/>
  <c r="F191"/>
  <c r="E191"/>
  <c r="T191"/>
  <c r="J190"/>
  <c r="K190" s="1"/>
  <c r="I190"/>
  <c r="R190"/>
  <c r="N116" i="17"/>
  <c r="AF117"/>
  <c r="K235" i="18"/>
  <c r="J236"/>
  <c r="R191" i="13" l="1"/>
  <c r="H191"/>
  <c r="I191" s="1"/>
  <c r="J191" s="1"/>
  <c r="K191" s="1"/>
  <c r="B193"/>
  <c r="C192"/>
  <c r="G192"/>
  <c r="F192"/>
  <c r="E192"/>
  <c r="H192" s="1"/>
  <c r="D192"/>
  <c r="T192"/>
  <c r="AF118" i="17"/>
  <c r="N117"/>
  <c r="J237" i="18"/>
  <c r="K236"/>
  <c r="R192" i="13" l="1"/>
  <c r="B194"/>
  <c r="E193"/>
  <c r="D193"/>
  <c r="C193"/>
  <c r="G193"/>
  <c r="F193"/>
  <c r="T193"/>
  <c r="I192"/>
  <c r="J192" s="1"/>
  <c r="K192" s="1"/>
  <c r="AF119" i="17"/>
  <c r="N118"/>
  <c r="K237" i="18"/>
  <c r="J238"/>
  <c r="H193" i="13" l="1"/>
  <c r="I193" s="1"/>
  <c r="J193" s="1"/>
  <c r="K193" s="1"/>
  <c r="R193"/>
  <c r="B195"/>
  <c r="C194"/>
  <c r="G194"/>
  <c r="F194"/>
  <c r="E194"/>
  <c r="D194"/>
  <c r="T194"/>
  <c r="N119" i="17"/>
  <c r="AF120"/>
  <c r="K238" i="18"/>
  <c r="J239"/>
  <c r="B196" i="13" l="1"/>
  <c r="E195"/>
  <c r="D195"/>
  <c r="R195" s="1"/>
  <c r="C195"/>
  <c r="G195"/>
  <c r="F195"/>
  <c r="T195"/>
  <c r="H194"/>
  <c r="R194"/>
  <c r="AG90" i="17"/>
  <c r="AG91" s="1"/>
  <c r="N120"/>
  <c r="J240" i="18"/>
  <c r="K239"/>
  <c r="H195" i="13" l="1"/>
  <c r="I195" s="1"/>
  <c r="J195" s="1"/>
  <c r="K195" s="1"/>
  <c r="B197"/>
  <c r="D196"/>
  <c r="C196"/>
  <c r="G196"/>
  <c r="F196"/>
  <c r="E196"/>
  <c r="H196" s="1"/>
  <c r="T196"/>
  <c r="I194"/>
  <c r="J194" s="1"/>
  <c r="K194" s="1"/>
  <c r="P91" i="17"/>
  <c r="AG92"/>
  <c r="K240" i="18"/>
  <c r="J241"/>
  <c r="R196" i="13" l="1"/>
  <c r="F197"/>
  <c r="E197"/>
  <c r="D197"/>
  <c r="B198"/>
  <c r="G197"/>
  <c r="C197"/>
  <c r="T197"/>
  <c r="I196"/>
  <c r="J196" s="1"/>
  <c r="K196" s="1"/>
  <c r="AG93" i="17"/>
  <c r="P92"/>
  <c r="J242" i="18"/>
  <c r="K241"/>
  <c r="R197" i="13" l="1"/>
  <c r="B199"/>
  <c r="D198"/>
  <c r="C198"/>
  <c r="G198"/>
  <c r="F198"/>
  <c r="E198"/>
  <c r="T198"/>
  <c r="H197"/>
  <c r="I197" s="1"/>
  <c r="J197" s="1"/>
  <c r="K197" s="1"/>
  <c r="AG94" i="17"/>
  <c r="P93"/>
  <c r="J243" i="18"/>
  <c r="K242"/>
  <c r="B200" i="13" l="1"/>
  <c r="E199"/>
  <c r="H199" s="1"/>
  <c r="D199"/>
  <c r="R199" s="1"/>
  <c r="C199"/>
  <c r="G199"/>
  <c r="F199"/>
  <c r="T199"/>
  <c r="H198"/>
  <c r="I198" s="1"/>
  <c r="R198"/>
  <c r="AG95" i="17"/>
  <c r="P94"/>
  <c r="J244" i="18"/>
  <c r="K243"/>
  <c r="B201" i="13" l="1"/>
  <c r="C200"/>
  <c r="G200"/>
  <c r="F200"/>
  <c r="E200"/>
  <c r="D200"/>
  <c r="T200"/>
  <c r="J198"/>
  <c r="K198" s="1"/>
  <c r="I199"/>
  <c r="J199" s="1"/>
  <c r="K199" s="1"/>
  <c r="P95" i="17"/>
  <c r="AG96"/>
  <c r="J245" i="18"/>
  <c r="K244"/>
  <c r="R200" i="13" l="1"/>
  <c r="H200"/>
  <c r="B202"/>
  <c r="E201"/>
  <c r="D201"/>
  <c r="C201"/>
  <c r="G201"/>
  <c r="F201"/>
  <c r="T201"/>
  <c r="I200"/>
  <c r="J200" s="1"/>
  <c r="K200" s="1"/>
  <c r="AG97" i="17"/>
  <c r="P96"/>
  <c r="K245" i="18"/>
  <c r="J246"/>
  <c r="R201" i="13" l="1"/>
  <c r="H201"/>
  <c r="B203"/>
  <c r="D202"/>
  <c r="C202"/>
  <c r="G202"/>
  <c r="F202"/>
  <c r="E202"/>
  <c r="T202"/>
  <c r="I201"/>
  <c r="J201" s="1"/>
  <c r="K201" s="1"/>
  <c r="AG98" i="17"/>
  <c r="P97"/>
  <c r="K246" i="18"/>
  <c r="J247"/>
  <c r="B204" i="13" l="1"/>
  <c r="E203"/>
  <c r="H203" s="1"/>
  <c r="D203"/>
  <c r="R203" s="1"/>
  <c r="C203"/>
  <c r="G203"/>
  <c r="F203"/>
  <c r="T203"/>
  <c r="H202"/>
  <c r="I202" s="1"/>
  <c r="R202"/>
  <c r="AG99" i="17"/>
  <c r="P98"/>
  <c r="K247" i="18"/>
  <c r="J248"/>
  <c r="B205" i="13" l="1"/>
  <c r="D204"/>
  <c r="C204"/>
  <c r="G204"/>
  <c r="F204"/>
  <c r="E204"/>
  <c r="T204"/>
  <c r="J202"/>
  <c r="K202" s="1"/>
  <c r="I203"/>
  <c r="J203" s="1"/>
  <c r="K203" s="1"/>
  <c r="P99" i="17"/>
  <c r="AG100"/>
  <c r="K248" i="18"/>
  <c r="J249"/>
  <c r="H204" i="13" l="1"/>
  <c r="I204" s="1"/>
  <c r="J204" s="1"/>
  <c r="K204" s="1"/>
  <c r="R204"/>
  <c r="B206"/>
  <c r="F205"/>
  <c r="E205"/>
  <c r="D205"/>
  <c r="G205"/>
  <c r="C205"/>
  <c r="T205"/>
  <c r="AG101" i="17"/>
  <c r="P100"/>
  <c r="J250" i="18"/>
  <c r="K249"/>
  <c r="I205" i="13" l="1"/>
  <c r="H205"/>
  <c r="J205" s="1"/>
  <c r="K205" s="1"/>
  <c r="B207"/>
  <c r="E206"/>
  <c r="D206"/>
  <c r="C206"/>
  <c r="G206"/>
  <c r="F206"/>
  <c r="T206"/>
  <c r="R205"/>
  <c r="AG102" i="17"/>
  <c r="P101"/>
  <c r="K250" i="18"/>
  <c r="J251"/>
  <c r="R206" i="13" l="1"/>
  <c r="H206"/>
  <c r="B208"/>
  <c r="C207"/>
  <c r="G207"/>
  <c r="F207"/>
  <c r="E207"/>
  <c r="H207" s="1"/>
  <c r="D207"/>
  <c r="T207"/>
  <c r="I206"/>
  <c r="J206" s="1"/>
  <c r="K206" s="1"/>
  <c r="AG103" i="17"/>
  <c r="P102"/>
  <c r="J252" i="18"/>
  <c r="K251"/>
  <c r="R207" i="13" l="1"/>
  <c r="B209"/>
  <c r="F208"/>
  <c r="E208"/>
  <c r="D208"/>
  <c r="G208"/>
  <c r="C208"/>
  <c r="T208"/>
  <c r="I207"/>
  <c r="J207" s="1"/>
  <c r="K207" s="1"/>
  <c r="P103" i="17"/>
  <c r="AG104"/>
  <c r="J253" i="18"/>
  <c r="K252"/>
  <c r="R208" i="13" l="1"/>
  <c r="H208"/>
  <c r="B210"/>
  <c r="D209"/>
  <c r="C209"/>
  <c r="G209"/>
  <c r="F209"/>
  <c r="E209"/>
  <c r="T209"/>
  <c r="I208"/>
  <c r="J208" s="1"/>
  <c r="K208" s="1"/>
  <c r="AG105" i="17"/>
  <c r="P104"/>
  <c r="J254" i="18"/>
  <c r="K253"/>
  <c r="I209" i="13" l="1"/>
  <c r="H209"/>
  <c r="J209" s="1"/>
  <c r="K209" s="1"/>
  <c r="R209"/>
  <c r="B211"/>
  <c r="F210"/>
  <c r="E210"/>
  <c r="D210"/>
  <c r="G210"/>
  <c r="C210"/>
  <c r="H210" s="1"/>
  <c r="T210"/>
  <c r="AG106" i="17"/>
  <c r="P105"/>
  <c r="K254" i="18"/>
  <c r="J255"/>
  <c r="I210" i="13" l="1"/>
  <c r="J210" s="1"/>
  <c r="K210" s="1"/>
  <c r="B212"/>
  <c r="D211"/>
  <c r="C211"/>
  <c r="G211"/>
  <c r="F211"/>
  <c r="E211"/>
  <c r="T211"/>
  <c r="R210"/>
  <c r="AG107" i="17"/>
  <c r="P106"/>
  <c r="K255" i="18"/>
  <c r="J256"/>
  <c r="R211" i="13" l="1"/>
  <c r="B213"/>
  <c r="C212"/>
  <c r="G212"/>
  <c r="F212"/>
  <c r="E212"/>
  <c r="D212"/>
  <c r="T212"/>
  <c r="I211"/>
  <c r="J211" s="1"/>
  <c r="K211" s="1"/>
  <c r="H211"/>
  <c r="P107" i="17"/>
  <c r="AG108"/>
  <c r="K256" i="18"/>
  <c r="J257"/>
  <c r="R212" i="13" l="1"/>
  <c r="H212"/>
  <c r="E213"/>
  <c r="D213"/>
  <c r="B214"/>
  <c r="C213"/>
  <c r="G213"/>
  <c r="F213"/>
  <c r="T213"/>
  <c r="I212"/>
  <c r="J212" s="1"/>
  <c r="K212" s="1"/>
  <c r="AG109" i="17"/>
  <c r="P108"/>
  <c r="K257" i="18"/>
  <c r="J258"/>
  <c r="R213" i="13" l="1"/>
  <c r="H213"/>
  <c r="I213" s="1"/>
  <c r="J213" s="1"/>
  <c r="K213" s="1"/>
  <c r="B215"/>
  <c r="C214"/>
  <c r="G214"/>
  <c r="F214"/>
  <c r="E214"/>
  <c r="D214"/>
  <c r="T214"/>
  <c r="AG110" i="17"/>
  <c r="P109"/>
  <c r="J259" i="18"/>
  <c r="K258"/>
  <c r="R214" i="13" l="1"/>
  <c r="B216"/>
  <c r="D215"/>
  <c r="C215"/>
  <c r="G215"/>
  <c r="F215"/>
  <c r="E215"/>
  <c r="T215"/>
  <c r="H214"/>
  <c r="I214" s="1"/>
  <c r="AG111" i="17"/>
  <c r="P110"/>
  <c r="K259" i="18"/>
  <c r="J260"/>
  <c r="R215" i="13" l="1"/>
  <c r="H215"/>
  <c r="I215" s="1"/>
  <c r="B217"/>
  <c r="F216"/>
  <c r="E216"/>
  <c r="D216"/>
  <c r="G216"/>
  <c r="C216"/>
  <c r="T216"/>
  <c r="R216"/>
  <c r="J214"/>
  <c r="K214" s="1"/>
  <c r="P111" i="17"/>
  <c r="AG112"/>
  <c r="J261" i="18"/>
  <c r="K260"/>
  <c r="J215" i="13" l="1"/>
  <c r="K215" s="1"/>
  <c r="B218"/>
  <c r="D217"/>
  <c r="C217"/>
  <c r="G217"/>
  <c r="F217"/>
  <c r="E217"/>
  <c r="T217"/>
  <c r="H216"/>
  <c r="I216" s="1"/>
  <c r="J216" s="1"/>
  <c r="K216" s="1"/>
  <c r="AG113" i="17"/>
  <c r="P112"/>
  <c r="K261" i="18"/>
  <c r="J262"/>
  <c r="B219" i="13" l="1"/>
  <c r="C218"/>
  <c r="G218"/>
  <c r="F218"/>
  <c r="E218"/>
  <c r="D218"/>
  <c r="T218"/>
  <c r="H217"/>
  <c r="I217" s="1"/>
  <c r="J217" s="1"/>
  <c r="K217" s="1"/>
  <c r="R217"/>
  <c r="AG114" i="17"/>
  <c r="P113"/>
  <c r="K262" i="18"/>
  <c r="J263"/>
  <c r="R218" i="13" l="1"/>
  <c r="B220"/>
  <c r="D219"/>
  <c r="C219"/>
  <c r="G219"/>
  <c r="F219"/>
  <c r="E219"/>
  <c r="H219" s="1"/>
  <c r="T219"/>
  <c r="H218"/>
  <c r="AG115" i="17"/>
  <c r="P114"/>
  <c r="J264" i="18"/>
  <c r="K263"/>
  <c r="R219" i="13" l="1"/>
  <c r="I219"/>
  <c r="J219" s="1"/>
  <c r="K219" s="1"/>
  <c r="B221"/>
  <c r="C220"/>
  <c r="G220"/>
  <c r="F220"/>
  <c r="E220"/>
  <c r="H220" s="1"/>
  <c r="D220"/>
  <c r="T220"/>
  <c r="I218"/>
  <c r="J218" s="1"/>
  <c r="K218" s="1"/>
  <c r="P115" i="17"/>
  <c r="AG116"/>
  <c r="K264" i="18"/>
  <c r="J265"/>
  <c r="R220" i="13" l="1"/>
  <c r="B222"/>
  <c r="E221"/>
  <c r="D221"/>
  <c r="C221"/>
  <c r="G221"/>
  <c r="F221"/>
  <c r="T221"/>
  <c r="I220"/>
  <c r="J220" s="1"/>
  <c r="K220" s="1"/>
  <c r="AG117" i="17"/>
  <c r="P116"/>
  <c r="K265" i="18"/>
  <c r="J266"/>
  <c r="R221" i="13" l="1"/>
  <c r="B223"/>
  <c r="D222"/>
  <c r="C222"/>
  <c r="G222"/>
  <c r="F222"/>
  <c r="E222"/>
  <c r="T222"/>
  <c r="I221"/>
  <c r="H221"/>
  <c r="AG118" i="17"/>
  <c r="P117"/>
  <c r="J267" i="18"/>
  <c r="K266"/>
  <c r="B224" i="13" l="1"/>
  <c r="F223"/>
  <c r="E223"/>
  <c r="D223"/>
  <c r="G223"/>
  <c r="C223"/>
  <c r="T223"/>
  <c r="J221"/>
  <c r="K221" s="1"/>
  <c r="H222"/>
  <c r="I222" s="1"/>
  <c r="R222"/>
  <c r="P118" i="17"/>
  <c r="AG119"/>
  <c r="K267" i="18"/>
  <c r="J268"/>
  <c r="R223" i="13" l="1"/>
  <c r="H223"/>
  <c r="B225"/>
  <c r="E224"/>
  <c r="D224"/>
  <c r="C224"/>
  <c r="G224"/>
  <c r="F224"/>
  <c r="T224"/>
  <c r="J222"/>
  <c r="K222" s="1"/>
  <c r="AG120" i="17"/>
  <c r="P119"/>
  <c r="J269" i="18"/>
  <c r="K268"/>
  <c r="R224" i="13" l="1"/>
  <c r="I224"/>
  <c r="J224" s="1"/>
  <c r="K224" s="1"/>
  <c r="H224"/>
  <c r="B226"/>
  <c r="C225"/>
  <c r="G225"/>
  <c r="F225"/>
  <c r="E225"/>
  <c r="D225"/>
  <c r="T225"/>
  <c r="I223"/>
  <c r="J223" s="1"/>
  <c r="K223" s="1"/>
  <c r="P120" i="17"/>
  <c r="AG121"/>
  <c r="K269" i="18"/>
  <c r="J270"/>
  <c r="H225" i="13" l="1"/>
  <c r="I225" s="1"/>
  <c r="J225" s="1"/>
  <c r="K225" s="1"/>
  <c r="R225"/>
  <c r="B227"/>
  <c r="E226"/>
  <c r="D226"/>
  <c r="R226" s="1"/>
  <c r="C226"/>
  <c r="G226"/>
  <c r="F226"/>
  <c r="T226"/>
  <c r="AH90" i="17"/>
  <c r="AH91" s="1"/>
  <c r="P121"/>
  <c r="K270" i="18"/>
  <c r="J271"/>
  <c r="B228" i="13" l="1"/>
  <c r="C227"/>
  <c r="G227"/>
  <c r="F227"/>
  <c r="E227"/>
  <c r="D227"/>
  <c r="T227"/>
  <c r="H226"/>
  <c r="I226" s="1"/>
  <c r="AH92" i="17"/>
  <c r="R91"/>
  <c r="J272" i="18"/>
  <c r="K271"/>
  <c r="R227" i="13" l="1"/>
  <c r="H227"/>
  <c r="I227" s="1"/>
  <c r="J227" s="1"/>
  <c r="K227" s="1"/>
  <c r="J226"/>
  <c r="K226" s="1"/>
  <c r="B229"/>
  <c r="F228"/>
  <c r="E228"/>
  <c r="D228"/>
  <c r="C228"/>
  <c r="G228"/>
  <c r="T228"/>
  <c r="R228"/>
  <c r="AH93" i="17"/>
  <c r="R92"/>
  <c r="K272" i="18"/>
  <c r="J273"/>
  <c r="D229" i="13" l="1"/>
  <c r="B230"/>
  <c r="C229"/>
  <c r="G229"/>
  <c r="F229"/>
  <c r="E229"/>
  <c r="H229" s="1"/>
  <c r="T229"/>
  <c r="H228"/>
  <c r="I228" s="1"/>
  <c r="J228" s="1"/>
  <c r="K228" s="1"/>
  <c r="AH94" i="17"/>
  <c r="R93"/>
  <c r="K273" i="18"/>
  <c r="J274"/>
  <c r="R229" i="13" l="1"/>
  <c r="I229"/>
  <c r="J229" s="1"/>
  <c r="K229" s="1"/>
  <c r="B231"/>
  <c r="F230"/>
  <c r="E230"/>
  <c r="D230"/>
  <c r="G230"/>
  <c r="C230"/>
  <c r="T230"/>
  <c r="R94" i="17"/>
  <c r="AH95"/>
  <c r="J275" i="18"/>
  <c r="K274"/>
  <c r="H230" i="13" l="1"/>
  <c r="I230" s="1"/>
  <c r="J230" s="1"/>
  <c r="K230" s="1"/>
  <c r="B232"/>
  <c r="C231"/>
  <c r="G231"/>
  <c r="F231"/>
  <c r="E231"/>
  <c r="D231"/>
  <c r="T231"/>
  <c r="R230"/>
  <c r="AH96" i="17"/>
  <c r="R95"/>
  <c r="K275" i="18"/>
  <c r="J276"/>
  <c r="R231" i="13" l="1"/>
  <c r="B233"/>
  <c r="E232"/>
  <c r="D232"/>
  <c r="C232"/>
  <c r="G232"/>
  <c r="F232"/>
  <c r="T232"/>
  <c r="H231"/>
  <c r="I231" s="1"/>
  <c r="AH97" i="17"/>
  <c r="R96"/>
  <c r="J277" i="18"/>
  <c r="K276"/>
  <c r="R232" i="13" l="1"/>
  <c r="B234"/>
  <c r="C233"/>
  <c r="G233"/>
  <c r="F233"/>
  <c r="E233"/>
  <c r="D233"/>
  <c r="T233"/>
  <c r="J231"/>
  <c r="K231" s="1"/>
  <c r="H232"/>
  <c r="I232" s="1"/>
  <c r="J232" s="1"/>
  <c r="K232" s="1"/>
  <c r="AH98" i="17"/>
  <c r="R97"/>
  <c r="K277" i="18"/>
  <c r="J278"/>
  <c r="B235" i="13" l="1"/>
  <c r="F234"/>
  <c r="E234"/>
  <c r="D234"/>
  <c r="G234"/>
  <c r="C234"/>
  <c r="T234"/>
  <c r="H233"/>
  <c r="I233" s="1"/>
  <c r="J233" s="1"/>
  <c r="K233" s="1"/>
  <c r="R233"/>
  <c r="R98" i="17"/>
  <c r="AH99"/>
  <c r="K278" i="18"/>
  <c r="J279"/>
  <c r="H234" i="13" l="1"/>
  <c r="I234" s="1"/>
  <c r="B236"/>
  <c r="C235"/>
  <c r="R235" s="1"/>
  <c r="G235"/>
  <c r="F235"/>
  <c r="E235"/>
  <c r="D235"/>
  <c r="T235"/>
  <c r="R234"/>
  <c r="AH100" i="17"/>
  <c r="R99"/>
  <c r="J280" i="18"/>
  <c r="K279"/>
  <c r="J234" i="13" l="1"/>
  <c r="K234" s="1"/>
  <c r="H235"/>
  <c r="I235" s="1"/>
  <c r="J235" s="1"/>
  <c r="K235" s="1"/>
  <c r="B237"/>
  <c r="F236"/>
  <c r="E236"/>
  <c r="D236"/>
  <c r="C236"/>
  <c r="G236"/>
  <c r="T236"/>
  <c r="R236"/>
  <c r="AH101" i="17"/>
  <c r="R100"/>
  <c r="K280" i="18"/>
  <c r="J281"/>
  <c r="B238" i="13" l="1"/>
  <c r="D237"/>
  <c r="C237"/>
  <c r="G237"/>
  <c r="F237"/>
  <c r="E237"/>
  <c r="T237"/>
  <c r="H236"/>
  <c r="I236" s="1"/>
  <c r="J236" s="1"/>
  <c r="K236" s="1"/>
  <c r="AH102" i="17"/>
  <c r="R101"/>
  <c r="K281" i="18"/>
  <c r="J282"/>
  <c r="B239" i="13" l="1"/>
  <c r="C238"/>
  <c r="G238"/>
  <c r="F238"/>
  <c r="E238"/>
  <c r="D238"/>
  <c r="T238"/>
  <c r="H237"/>
  <c r="I237" s="1"/>
  <c r="R237"/>
  <c r="R102" i="17"/>
  <c r="AH103"/>
  <c r="K282" i="18"/>
  <c r="J283"/>
  <c r="B240" i="13" l="1"/>
  <c r="E239"/>
  <c r="H239" s="1"/>
  <c r="D239"/>
  <c r="R239" s="1"/>
  <c r="C239"/>
  <c r="G239"/>
  <c r="F239"/>
  <c r="T239"/>
  <c r="J237"/>
  <c r="K237" s="1"/>
  <c r="H238"/>
  <c r="R238"/>
  <c r="AH104" i="17"/>
  <c r="R103"/>
  <c r="K283" i="18"/>
  <c r="J284"/>
  <c r="B241" i="13" l="1"/>
  <c r="D240"/>
  <c r="C240"/>
  <c r="G240"/>
  <c r="F240"/>
  <c r="E240"/>
  <c r="T240"/>
  <c r="I239"/>
  <c r="J239" s="1"/>
  <c r="K239" s="1"/>
  <c r="I238"/>
  <c r="J238" s="1"/>
  <c r="K238" s="1"/>
  <c r="AH105" i="17"/>
  <c r="R104"/>
  <c r="J285" i="18"/>
  <c r="K284"/>
  <c r="R240" i="13" l="1"/>
  <c r="H240"/>
  <c r="I240" s="1"/>
  <c r="J240" s="1"/>
  <c r="K240" s="1"/>
  <c r="B242"/>
  <c r="F241"/>
  <c r="E241"/>
  <c r="D241"/>
  <c r="G241"/>
  <c r="C241"/>
  <c r="T241"/>
  <c r="AH106" i="17"/>
  <c r="R105"/>
  <c r="K285" i="18"/>
  <c r="J286"/>
  <c r="R241" i="13" l="1"/>
  <c r="B243"/>
  <c r="D242"/>
  <c r="C242"/>
  <c r="G242"/>
  <c r="F242"/>
  <c r="E242"/>
  <c r="T242"/>
  <c r="H241"/>
  <c r="I241" s="1"/>
  <c r="R106" i="17"/>
  <c r="AH107"/>
  <c r="K286" i="18"/>
  <c r="J287"/>
  <c r="R242" i="13" l="1"/>
  <c r="B244"/>
  <c r="F243"/>
  <c r="E243"/>
  <c r="D243"/>
  <c r="G243"/>
  <c r="C243"/>
  <c r="T243"/>
  <c r="J241"/>
  <c r="K241" s="1"/>
  <c r="H242"/>
  <c r="I242" s="1"/>
  <c r="AH108" i="17"/>
  <c r="R107"/>
  <c r="K287" i="18"/>
  <c r="J288"/>
  <c r="R243" i="13" l="1"/>
  <c r="B245"/>
  <c r="E244"/>
  <c r="D244"/>
  <c r="C244"/>
  <c r="G244"/>
  <c r="F244"/>
  <c r="T244"/>
  <c r="H243"/>
  <c r="I243" s="1"/>
  <c r="J243" s="1"/>
  <c r="K243" s="1"/>
  <c r="J242"/>
  <c r="K242" s="1"/>
  <c r="AH109" i="17"/>
  <c r="R108"/>
  <c r="K288" i="18"/>
  <c r="J289"/>
  <c r="H244" i="13" l="1"/>
  <c r="I244" s="1"/>
  <c r="J244" s="1"/>
  <c r="K244" s="1"/>
  <c r="R244"/>
  <c r="B246"/>
  <c r="C245"/>
  <c r="G245"/>
  <c r="F245"/>
  <c r="E245"/>
  <c r="D245"/>
  <c r="T245"/>
  <c r="AH110" i="17"/>
  <c r="R109"/>
  <c r="J290" i="18"/>
  <c r="K289"/>
  <c r="R245" i="13" l="1"/>
  <c r="H245"/>
  <c r="B247"/>
  <c r="E246"/>
  <c r="D246"/>
  <c r="R246" s="1"/>
  <c r="C246"/>
  <c r="G246"/>
  <c r="F246"/>
  <c r="T246"/>
  <c r="I245"/>
  <c r="J245" s="1"/>
  <c r="K245" s="1"/>
  <c r="R110" i="17"/>
  <c r="AH111"/>
  <c r="J291" i="18"/>
  <c r="K290"/>
  <c r="B248" i="13" l="1"/>
  <c r="F247"/>
  <c r="E247"/>
  <c r="D247"/>
  <c r="C247"/>
  <c r="G247"/>
  <c r="T247"/>
  <c r="H246"/>
  <c r="I246" s="1"/>
  <c r="AH112" i="17"/>
  <c r="R111"/>
  <c r="J292" i="18"/>
  <c r="K291"/>
  <c r="R247" i="13" l="1"/>
  <c r="B249"/>
  <c r="D248"/>
  <c r="C248"/>
  <c r="G248"/>
  <c r="F248"/>
  <c r="E248"/>
  <c r="H248" s="1"/>
  <c r="T248"/>
  <c r="J246"/>
  <c r="K246" s="1"/>
  <c r="H247"/>
  <c r="I247" s="1"/>
  <c r="AH113" i="17"/>
  <c r="R112"/>
  <c r="J293" i="18"/>
  <c r="K292"/>
  <c r="I248" i="13" l="1"/>
  <c r="J248" s="1"/>
  <c r="K248" s="1"/>
  <c r="R248"/>
  <c r="B250"/>
  <c r="F249"/>
  <c r="E249"/>
  <c r="D249"/>
  <c r="G249"/>
  <c r="C249"/>
  <c r="T249"/>
  <c r="J247"/>
  <c r="K247" s="1"/>
  <c r="AH114" i="17"/>
  <c r="R113"/>
  <c r="J294" i="18"/>
  <c r="K293"/>
  <c r="H249" i="13" l="1"/>
  <c r="I249" s="1"/>
  <c r="J249" s="1"/>
  <c r="K249" s="1"/>
  <c r="B251"/>
  <c r="E250"/>
  <c r="D250"/>
  <c r="C250"/>
  <c r="G250"/>
  <c r="F250"/>
  <c r="T250"/>
  <c r="R249"/>
  <c r="R114" i="17"/>
  <c r="AH115"/>
  <c r="K294" i="18"/>
  <c r="J295"/>
  <c r="H250" i="13" l="1"/>
  <c r="B252"/>
  <c r="F251"/>
  <c r="E251"/>
  <c r="D251"/>
  <c r="G251"/>
  <c r="C251"/>
  <c r="T251"/>
  <c r="R250"/>
  <c r="AH116" i="17"/>
  <c r="R115"/>
  <c r="K295" i="18"/>
  <c r="J296"/>
  <c r="R251" i="13" l="1"/>
  <c r="I250"/>
  <c r="J250" s="1"/>
  <c r="K250" s="1"/>
  <c r="B253"/>
  <c r="E252"/>
  <c r="D252"/>
  <c r="C252"/>
  <c r="G252"/>
  <c r="F252"/>
  <c r="T252"/>
  <c r="I251"/>
  <c r="H251"/>
  <c r="AH117" i="17"/>
  <c r="R116"/>
  <c r="K296" i="18"/>
  <c r="J297"/>
  <c r="R252" i="13" l="1"/>
  <c r="H252"/>
  <c r="I252" s="1"/>
  <c r="J252" s="1"/>
  <c r="K252" s="1"/>
  <c r="B254"/>
  <c r="C253"/>
  <c r="G253"/>
  <c r="F253"/>
  <c r="E253"/>
  <c r="D253"/>
  <c r="T253"/>
  <c r="J251"/>
  <c r="K251" s="1"/>
  <c r="AH118" i="17"/>
  <c r="R117"/>
  <c r="J298" i="18"/>
  <c r="K297"/>
  <c r="H253" i="13" l="1"/>
  <c r="B255"/>
  <c r="F254"/>
  <c r="E254"/>
  <c r="D254"/>
  <c r="G254"/>
  <c r="C254"/>
  <c r="H254" s="1"/>
  <c r="T254"/>
  <c r="R253"/>
  <c r="R118" i="17"/>
  <c r="AH119"/>
  <c r="K298" i="18"/>
  <c r="J299"/>
  <c r="R254" i="13" l="1"/>
  <c r="B256"/>
  <c r="D255"/>
  <c r="C255"/>
  <c r="G255"/>
  <c r="F255"/>
  <c r="E255"/>
  <c r="H255" s="1"/>
  <c r="T255"/>
  <c r="I253"/>
  <c r="J253" s="1"/>
  <c r="K253" s="1"/>
  <c r="J254"/>
  <c r="K254" s="1"/>
  <c r="I254"/>
  <c r="R119" i="17"/>
  <c r="AH120"/>
  <c r="J300" i="18"/>
  <c r="K299"/>
  <c r="I255" i="13" l="1"/>
  <c r="J255" s="1"/>
  <c r="K255" s="1"/>
  <c r="R255"/>
  <c r="B257"/>
  <c r="C256"/>
  <c r="G256"/>
  <c r="F256"/>
  <c r="E256"/>
  <c r="D256"/>
  <c r="T256"/>
  <c r="R120" i="17"/>
  <c r="AH121"/>
  <c r="J301" i="18"/>
  <c r="K300"/>
  <c r="H256" i="13" l="1"/>
  <c r="I256" s="1"/>
  <c r="J256" s="1"/>
  <c r="K256" s="1"/>
  <c r="R256"/>
  <c r="B258"/>
  <c r="E257"/>
  <c r="D257"/>
  <c r="C257"/>
  <c r="G257"/>
  <c r="F257"/>
  <c r="T257"/>
  <c r="R121" i="17"/>
  <c r="AI90"/>
  <c r="AI91" s="1"/>
  <c r="J302" i="18"/>
  <c r="K301"/>
  <c r="H257" i="13" l="1"/>
  <c r="I257" s="1"/>
  <c r="J257" s="1"/>
  <c r="K257" s="1"/>
  <c r="R257"/>
  <c r="B259"/>
  <c r="C258"/>
  <c r="G258"/>
  <c r="F258"/>
  <c r="E258"/>
  <c r="D258"/>
  <c r="T258"/>
  <c r="AI92" i="17"/>
  <c r="T91"/>
  <c r="K302" i="18"/>
  <c r="J303"/>
  <c r="B260" i="13" l="1"/>
  <c r="E259"/>
  <c r="D259"/>
  <c r="R259" s="1"/>
  <c r="C259"/>
  <c r="G259"/>
  <c r="F259"/>
  <c r="T259"/>
  <c r="H258"/>
  <c r="R258"/>
  <c r="AI93" i="17"/>
  <c r="T92"/>
  <c r="K303" i="18"/>
  <c r="J304"/>
  <c r="H259" i="13" l="1"/>
  <c r="I259" s="1"/>
  <c r="J259" s="1"/>
  <c r="K259" s="1"/>
  <c r="B261"/>
  <c r="D260"/>
  <c r="C260"/>
  <c r="G260"/>
  <c r="F260"/>
  <c r="E260"/>
  <c r="T260"/>
  <c r="J258"/>
  <c r="K258" s="1"/>
  <c r="I258"/>
  <c r="T93" i="17"/>
  <c r="AI94"/>
  <c r="K304" i="18"/>
  <c r="J305"/>
  <c r="H260" i="13" l="1"/>
  <c r="I260" s="1"/>
  <c r="J260" s="1"/>
  <c r="K260" s="1"/>
  <c r="R260"/>
  <c r="F261"/>
  <c r="E261"/>
  <c r="D261"/>
  <c r="R261" s="1"/>
  <c r="C261"/>
  <c r="B262"/>
  <c r="G261"/>
  <c r="T261"/>
  <c r="AI95" i="17"/>
  <c r="T94"/>
  <c r="K305" i="18"/>
  <c r="J306"/>
  <c r="H261" i="13" l="1"/>
  <c r="I261" s="1"/>
  <c r="B263"/>
  <c r="D262"/>
  <c r="C262"/>
  <c r="G262"/>
  <c r="F262"/>
  <c r="E262"/>
  <c r="T262"/>
  <c r="AI96" i="17"/>
  <c r="T95"/>
  <c r="J307" i="18"/>
  <c r="K306"/>
  <c r="J261" i="13" l="1"/>
  <c r="K261" s="1"/>
  <c r="B264"/>
  <c r="E263"/>
  <c r="D263"/>
  <c r="C263"/>
  <c r="G263"/>
  <c r="F263"/>
  <c r="T263"/>
  <c r="I262"/>
  <c r="H262"/>
  <c r="R262"/>
  <c r="AI97" i="17"/>
  <c r="T96"/>
  <c r="K307" i="18"/>
  <c r="J308"/>
  <c r="R263" i="13" l="1"/>
  <c r="H263"/>
  <c r="I263" s="1"/>
  <c r="J263" s="1"/>
  <c r="K263" s="1"/>
  <c r="B265"/>
  <c r="C264"/>
  <c r="G264"/>
  <c r="F264"/>
  <c r="E264"/>
  <c r="H264" s="1"/>
  <c r="D264"/>
  <c r="T264"/>
  <c r="J262"/>
  <c r="K262" s="1"/>
  <c r="T97" i="17"/>
  <c r="AI98"/>
  <c r="K308" i="18"/>
  <c r="J309"/>
  <c r="R264" i="13" l="1"/>
  <c r="B266"/>
  <c r="E265"/>
  <c r="D265"/>
  <c r="C265"/>
  <c r="G265"/>
  <c r="F265"/>
  <c r="T265"/>
  <c r="I264"/>
  <c r="J264" s="1"/>
  <c r="K264" s="1"/>
  <c r="AI99" i="17"/>
  <c r="T98"/>
  <c r="K309" i="18"/>
  <c r="J310"/>
  <c r="R265" i="13" l="1"/>
  <c r="H265"/>
  <c r="B267"/>
  <c r="D266"/>
  <c r="C266"/>
  <c r="G266"/>
  <c r="F266"/>
  <c r="E266"/>
  <c r="T266"/>
  <c r="I265"/>
  <c r="J265" s="1"/>
  <c r="K265" s="1"/>
  <c r="AI100" i="17"/>
  <c r="T99"/>
  <c r="K310" i="18"/>
  <c r="J311"/>
  <c r="B268" i="13" l="1"/>
  <c r="C267"/>
  <c r="G267"/>
  <c r="F267"/>
  <c r="E267"/>
  <c r="D267"/>
  <c r="T267"/>
  <c r="H266"/>
  <c r="I266" s="1"/>
  <c r="J266" s="1"/>
  <c r="K266" s="1"/>
  <c r="R266"/>
  <c r="AI101" i="17"/>
  <c r="T100"/>
  <c r="J312" i="18"/>
  <c r="K311"/>
  <c r="R267" i="13" l="1"/>
  <c r="B269"/>
  <c r="F268"/>
  <c r="E268"/>
  <c r="D268"/>
  <c r="G268"/>
  <c r="C268"/>
  <c r="T268"/>
  <c r="H267"/>
  <c r="I267" s="1"/>
  <c r="J267" s="1"/>
  <c r="K267" s="1"/>
  <c r="T101" i="17"/>
  <c r="AI102"/>
  <c r="K312" i="18"/>
  <c r="J313"/>
  <c r="R268" i="13" l="1"/>
  <c r="B270"/>
  <c r="E269"/>
  <c r="D269"/>
  <c r="C269"/>
  <c r="G269"/>
  <c r="F269"/>
  <c r="T269"/>
  <c r="I268"/>
  <c r="H268"/>
  <c r="AI103" i="17"/>
  <c r="T102"/>
  <c r="K313" i="18"/>
  <c r="J314"/>
  <c r="R269" i="13" l="1"/>
  <c r="B271"/>
  <c r="D270"/>
  <c r="C270"/>
  <c r="G270"/>
  <c r="F270"/>
  <c r="E270"/>
  <c r="T270"/>
  <c r="J268"/>
  <c r="K268" s="1"/>
  <c r="I269"/>
  <c r="J269" s="1"/>
  <c r="K269" s="1"/>
  <c r="H269"/>
  <c r="AI104" i="17"/>
  <c r="T103"/>
  <c r="K314" i="18"/>
  <c r="J315"/>
  <c r="B272" i="13" l="1"/>
  <c r="C271"/>
  <c r="G271"/>
  <c r="F271"/>
  <c r="E271"/>
  <c r="D271"/>
  <c r="T271"/>
  <c r="H270"/>
  <c r="I270" s="1"/>
  <c r="J270" s="1"/>
  <c r="K270" s="1"/>
  <c r="R270"/>
  <c r="AI105" i="17"/>
  <c r="T104"/>
  <c r="K315" i="18"/>
  <c r="J316"/>
  <c r="R271" i="13" l="1"/>
  <c r="H271"/>
  <c r="B273"/>
  <c r="F272"/>
  <c r="E272"/>
  <c r="D272"/>
  <c r="G272"/>
  <c r="C272"/>
  <c r="T272"/>
  <c r="I271"/>
  <c r="J271" s="1"/>
  <c r="K271" s="1"/>
  <c r="T105" i="17"/>
  <c r="AI106"/>
  <c r="J317" i="18"/>
  <c r="K316"/>
  <c r="R272" i="13" l="1"/>
  <c r="B274"/>
  <c r="E273"/>
  <c r="D273"/>
  <c r="C273"/>
  <c r="G273"/>
  <c r="F273"/>
  <c r="T273"/>
  <c r="I272"/>
  <c r="H272"/>
  <c r="AI107" i="17"/>
  <c r="T106"/>
  <c r="K317" i="18"/>
  <c r="J318"/>
  <c r="R273" i="13" l="1"/>
  <c r="B275"/>
  <c r="D274"/>
  <c r="C274"/>
  <c r="G274"/>
  <c r="F274"/>
  <c r="E274"/>
  <c r="T274"/>
  <c r="J272"/>
  <c r="K272" s="1"/>
  <c r="I273"/>
  <c r="H273"/>
  <c r="AI108" i="17"/>
  <c r="T107"/>
  <c r="J319" i="18"/>
  <c r="K318"/>
  <c r="B276" i="13" l="1"/>
  <c r="C275"/>
  <c r="G275"/>
  <c r="F275"/>
  <c r="E275"/>
  <c r="D275"/>
  <c r="T275"/>
  <c r="J273"/>
  <c r="K273" s="1"/>
  <c r="H274"/>
  <c r="I274" s="1"/>
  <c r="J274" s="1"/>
  <c r="K274" s="1"/>
  <c r="R274"/>
  <c r="AI109" i="17"/>
  <c r="T108"/>
  <c r="J320" i="18"/>
  <c r="K319"/>
  <c r="R275" i="13" l="1"/>
  <c r="H275"/>
  <c r="B277"/>
  <c r="F276"/>
  <c r="E276"/>
  <c r="D276"/>
  <c r="C276"/>
  <c r="G276"/>
  <c r="T276"/>
  <c r="I275"/>
  <c r="J275" s="1"/>
  <c r="K275" s="1"/>
  <c r="T109" i="17"/>
  <c r="AI110"/>
  <c r="K320" i="18"/>
  <c r="J321"/>
  <c r="R276" i="13" l="1"/>
  <c r="E277"/>
  <c r="D277"/>
  <c r="B278"/>
  <c r="C277"/>
  <c r="G277"/>
  <c r="F277"/>
  <c r="T277"/>
  <c r="H276"/>
  <c r="I276" s="1"/>
  <c r="AI111" i="17"/>
  <c r="T110"/>
  <c r="K321" i="18"/>
  <c r="J322"/>
  <c r="R277" i="13" l="1"/>
  <c r="J276"/>
  <c r="K276" s="1"/>
  <c r="B279"/>
  <c r="D278"/>
  <c r="C278"/>
  <c r="G278"/>
  <c r="F278"/>
  <c r="E278"/>
  <c r="T278"/>
  <c r="H277"/>
  <c r="I277" s="1"/>
  <c r="J277" s="1"/>
  <c r="K277" s="1"/>
  <c r="AI112" i="17"/>
  <c r="T111"/>
  <c r="J323" i="18"/>
  <c r="K322"/>
  <c r="H278" i="13" l="1"/>
  <c r="I278" s="1"/>
  <c r="J278" s="1"/>
  <c r="K278" s="1"/>
  <c r="R278"/>
  <c r="B280"/>
  <c r="C279"/>
  <c r="G279"/>
  <c r="F279"/>
  <c r="E279"/>
  <c r="H279" s="1"/>
  <c r="D279"/>
  <c r="T279"/>
  <c r="R279"/>
  <c r="AI113" i="17"/>
  <c r="T112"/>
  <c r="K323" i="18"/>
  <c r="J324"/>
  <c r="I279" i="13" l="1"/>
  <c r="J279" s="1"/>
  <c r="K279" s="1"/>
  <c r="B281"/>
  <c r="F280"/>
  <c r="E280"/>
  <c r="D280"/>
  <c r="G280"/>
  <c r="C280"/>
  <c r="T280"/>
  <c r="T113" i="17"/>
  <c r="AI114"/>
  <c r="J325" i="18"/>
  <c r="K324"/>
  <c r="R280" i="13" l="1"/>
  <c r="I280"/>
  <c r="H280"/>
  <c r="B282"/>
  <c r="E281"/>
  <c r="D281"/>
  <c r="C281"/>
  <c r="G281"/>
  <c r="F281"/>
  <c r="T281"/>
  <c r="AI115" i="17"/>
  <c r="T114"/>
  <c r="K325" i="18"/>
  <c r="J326"/>
  <c r="H281" i="13" l="1"/>
  <c r="I281" s="1"/>
  <c r="J281" s="1"/>
  <c r="K281" s="1"/>
  <c r="J280"/>
  <c r="K280" s="1"/>
  <c r="B283"/>
  <c r="D282"/>
  <c r="C282"/>
  <c r="G282"/>
  <c r="F282"/>
  <c r="E282"/>
  <c r="T282"/>
  <c r="R281"/>
  <c r="AI116" i="17"/>
  <c r="T115"/>
  <c r="K326" i="18"/>
  <c r="J327"/>
  <c r="R282" i="13" l="1"/>
  <c r="B284"/>
  <c r="C283"/>
  <c r="G283"/>
  <c r="F283"/>
  <c r="E283"/>
  <c r="H283" s="1"/>
  <c r="D283"/>
  <c r="T283"/>
  <c r="H282"/>
  <c r="I282" s="1"/>
  <c r="J282" s="1"/>
  <c r="K282" s="1"/>
  <c r="AI117" i="17"/>
  <c r="T116"/>
  <c r="J328" i="18"/>
  <c r="K327"/>
  <c r="R283" i="13" l="1"/>
  <c r="B285"/>
  <c r="F284"/>
  <c r="E284"/>
  <c r="D284"/>
  <c r="G284"/>
  <c r="C284"/>
  <c r="T284"/>
  <c r="I283"/>
  <c r="J283" s="1"/>
  <c r="K283" s="1"/>
  <c r="T117" i="17"/>
  <c r="AI118"/>
  <c r="J329" i="18"/>
  <c r="K328"/>
  <c r="R284" i="13" l="1"/>
  <c r="I284"/>
  <c r="H284"/>
  <c r="B286"/>
  <c r="E285"/>
  <c r="D285"/>
  <c r="C285"/>
  <c r="G285"/>
  <c r="F285"/>
  <c r="T285"/>
  <c r="AI119" i="17"/>
  <c r="T118"/>
  <c r="K329" i="18"/>
  <c r="J330"/>
  <c r="H285" i="13" l="1"/>
  <c r="I285" s="1"/>
  <c r="J285" s="1"/>
  <c r="K285" s="1"/>
  <c r="J284"/>
  <c r="K284" s="1"/>
  <c r="B287"/>
  <c r="D286"/>
  <c r="C286"/>
  <c r="R286" s="1"/>
  <c r="G286"/>
  <c r="F286"/>
  <c r="E286"/>
  <c r="T286"/>
  <c r="R285"/>
  <c r="T119" i="17"/>
  <c r="AI120"/>
  <c r="K330" i="18"/>
  <c r="J331"/>
  <c r="B288" i="13" l="1"/>
  <c r="C287"/>
  <c r="G287"/>
  <c r="F287"/>
  <c r="E287"/>
  <c r="H287" s="1"/>
  <c r="D287"/>
  <c r="T287"/>
  <c r="H286"/>
  <c r="I286" s="1"/>
  <c r="J286" s="1"/>
  <c r="K286" s="1"/>
  <c r="T120" i="17"/>
  <c r="AJ90"/>
  <c r="AJ91" s="1"/>
  <c r="J332" i="18"/>
  <c r="K331"/>
  <c r="R287" i="13" l="1"/>
  <c r="B289"/>
  <c r="F288"/>
  <c r="E288"/>
  <c r="D288"/>
  <c r="G288"/>
  <c r="C288"/>
  <c r="T288"/>
  <c r="I287"/>
  <c r="J287" s="1"/>
  <c r="K287" s="1"/>
  <c r="AJ92" i="17"/>
  <c r="V91"/>
  <c r="K332" i="18"/>
  <c r="J333"/>
  <c r="R288" i="13" l="1"/>
  <c r="I288"/>
  <c r="H288"/>
  <c r="B290"/>
  <c r="E289"/>
  <c r="D289"/>
  <c r="C289"/>
  <c r="G289"/>
  <c r="F289"/>
  <c r="T289"/>
  <c r="V92" i="17"/>
  <c r="AJ93"/>
  <c r="K333" i="18"/>
  <c r="J334"/>
  <c r="H289" i="13" l="1"/>
  <c r="I289" s="1"/>
  <c r="J289" s="1"/>
  <c r="K289" s="1"/>
  <c r="J288"/>
  <c r="K288" s="1"/>
  <c r="B291"/>
  <c r="D290"/>
  <c r="C290"/>
  <c r="R290" s="1"/>
  <c r="G290"/>
  <c r="F290"/>
  <c r="E290"/>
  <c r="T290"/>
  <c r="R289"/>
  <c r="AJ94" i="17"/>
  <c r="V93"/>
  <c r="K334" i="18"/>
  <c r="J335"/>
  <c r="B292" i="13" l="1"/>
  <c r="C291"/>
  <c r="G291"/>
  <c r="F291"/>
  <c r="E291"/>
  <c r="H291" s="1"/>
  <c r="D291"/>
  <c r="T291"/>
  <c r="H290"/>
  <c r="I290" s="1"/>
  <c r="J290" s="1"/>
  <c r="K290" s="1"/>
  <c r="AJ95" i="17"/>
  <c r="V94"/>
  <c r="J336" i="18"/>
  <c r="K335"/>
  <c r="R291" i="13" l="1"/>
  <c r="B293"/>
  <c r="F292"/>
  <c r="E292"/>
  <c r="D292"/>
  <c r="C292"/>
  <c r="G292"/>
  <c r="T292"/>
  <c r="I291"/>
  <c r="J291" s="1"/>
  <c r="K291" s="1"/>
  <c r="AJ96" i="17"/>
  <c r="V95"/>
  <c r="K336" i="18"/>
  <c r="J337"/>
  <c r="R292" i="13" l="1"/>
  <c r="E293"/>
  <c r="B294"/>
  <c r="D293"/>
  <c r="C293"/>
  <c r="G293"/>
  <c r="F293"/>
  <c r="T293"/>
  <c r="I292"/>
  <c r="H292"/>
  <c r="V96" i="17"/>
  <c r="AJ97"/>
  <c r="K337" i="18"/>
  <c r="J338"/>
  <c r="R293" i="13" l="1"/>
  <c r="B295"/>
  <c r="D294"/>
  <c r="C294"/>
  <c r="G294"/>
  <c r="F294"/>
  <c r="E294"/>
  <c r="T294"/>
  <c r="J292"/>
  <c r="K292" s="1"/>
  <c r="H293"/>
  <c r="I293" s="1"/>
  <c r="AJ98" i="17"/>
  <c r="V97"/>
  <c r="J339" i="18"/>
  <c r="K338"/>
  <c r="B296" i="13" l="1"/>
  <c r="C295"/>
  <c r="G295"/>
  <c r="F295"/>
  <c r="E295"/>
  <c r="D295"/>
  <c r="T295"/>
  <c r="J293"/>
  <c r="K293" s="1"/>
  <c r="H294"/>
  <c r="I294" s="1"/>
  <c r="J294" s="1"/>
  <c r="K294" s="1"/>
  <c r="R294"/>
  <c r="AJ99" i="17"/>
  <c r="V98"/>
  <c r="J340" i="18"/>
  <c r="K339"/>
  <c r="R295" i="13" l="1"/>
  <c r="H295"/>
  <c r="B297"/>
  <c r="F296"/>
  <c r="E296"/>
  <c r="D296"/>
  <c r="G296"/>
  <c r="C296"/>
  <c r="T296"/>
  <c r="I295"/>
  <c r="J295" s="1"/>
  <c r="K295" s="1"/>
  <c r="AJ100" i="17"/>
  <c r="V99"/>
  <c r="K340" i="18"/>
  <c r="J341"/>
  <c r="R296" i="13" l="1"/>
  <c r="B298"/>
  <c r="E297"/>
  <c r="D297"/>
  <c r="C297"/>
  <c r="G297"/>
  <c r="F297"/>
  <c r="T297"/>
  <c r="H296"/>
  <c r="I296" s="1"/>
  <c r="V100" i="17"/>
  <c r="AJ101"/>
  <c r="K341" i="18"/>
  <c r="J342"/>
  <c r="R297" i="13" l="1"/>
  <c r="B299"/>
  <c r="D298"/>
  <c r="C298"/>
  <c r="G298"/>
  <c r="F298"/>
  <c r="E298"/>
  <c r="T298"/>
  <c r="J296"/>
  <c r="K296" s="1"/>
  <c r="H297"/>
  <c r="I297" s="1"/>
  <c r="J297" s="1"/>
  <c r="K297" s="1"/>
  <c r="AJ102" i="17"/>
  <c r="V101"/>
  <c r="K342" i="18"/>
  <c r="J343"/>
  <c r="B300" i="13" l="1"/>
  <c r="C299"/>
  <c r="G299"/>
  <c r="F299"/>
  <c r="E299"/>
  <c r="H299" s="1"/>
  <c r="D299"/>
  <c r="T299"/>
  <c r="H298"/>
  <c r="I298" s="1"/>
  <c r="J298" s="1"/>
  <c r="K298" s="1"/>
  <c r="R298"/>
  <c r="AJ103" i="17"/>
  <c r="V102"/>
  <c r="J344" i="18"/>
  <c r="K343"/>
  <c r="R299" i="13" l="1"/>
  <c r="B301"/>
  <c r="F300"/>
  <c r="E300"/>
  <c r="D300"/>
  <c r="G300"/>
  <c r="C300"/>
  <c r="T300"/>
  <c r="I299"/>
  <c r="J299" s="1"/>
  <c r="K299" s="1"/>
  <c r="AJ104" i="17"/>
  <c r="V103"/>
  <c r="K344" i="18"/>
  <c r="J345"/>
  <c r="R300" i="13" l="1"/>
  <c r="B302"/>
  <c r="E301"/>
  <c r="D301"/>
  <c r="C301"/>
  <c r="G301"/>
  <c r="F301"/>
  <c r="T301"/>
  <c r="H300"/>
  <c r="I300" s="1"/>
  <c r="V104" i="17"/>
  <c r="AJ105"/>
  <c r="K345" i="18"/>
  <c r="J346"/>
  <c r="R301" i="13" l="1"/>
  <c r="B303"/>
  <c r="D302"/>
  <c r="C302"/>
  <c r="G302"/>
  <c r="F302"/>
  <c r="E302"/>
  <c r="T302"/>
  <c r="J300"/>
  <c r="K300" s="1"/>
  <c r="H301"/>
  <c r="I301" s="1"/>
  <c r="J301" s="1"/>
  <c r="K301" s="1"/>
  <c r="AJ106" i="17"/>
  <c r="V105"/>
  <c r="K346" i="18"/>
  <c r="J347"/>
  <c r="B304" i="13" l="1"/>
  <c r="C303"/>
  <c r="G303"/>
  <c r="F303"/>
  <c r="E303"/>
  <c r="D303"/>
  <c r="T303"/>
  <c r="H302"/>
  <c r="I302" s="1"/>
  <c r="J302" s="1"/>
  <c r="K302" s="1"/>
  <c r="R302"/>
  <c r="AJ107" i="17"/>
  <c r="V106"/>
  <c r="J348" i="18"/>
  <c r="K347"/>
  <c r="R303" i="13" l="1"/>
  <c r="H303"/>
  <c r="B305"/>
  <c r="F304"/>
  <c r="E304"/>
  <c r="D304"/>
  <c r="G304"/>
  <c r="C304"/>
  <c r="T304"/>
  <c r="I303"/>
  <c r="J303" s="1"/>
  <c r="K303" s="1"/>
  <c r="AJ108" i="17"/>
  <c r="V107"/>
  <c r="J349" i="18"/>
  <c r="K348"/>
  <c r="R304" i="13" l="1"/>
  <c r="B306"/>
  <c r="E305"/>
  <c r="D305"/>
  <c r="C305"/>
  <c r="G305"/>
  <c r="F305"/>
  <c r="T305"/>
  <c r="H304"/>
  <c r="I304" s="1"/>
  <c r="V108" i="17"/>
  <c r="AJ109"/>
  <c r="J350" i="18"/>
  <c r="K349"/>
  <c r="R305" i="13" l="1"/>
  <c r="H305"/>
  <c r="I305" s="1"/>
  <c r="J305" s="1"/>
  <c r="K305" s="1"/>
  <c r="B307"/>
  <c r="D306"/>
  <c r="C306"/>
  <c r="G306"/>
  <c r="F306"/>
  <c r="E306"/>
  <c r="T306"/>
  <c r="J304"/>
  <c r="K304" s="1"/>
  <c r="AJ110" i="17"/>
  <c r="V109"/>
  <c r="K350" i="18"/>
  <c r="J351"/>
  <c r="B308" i="13" l="1"/>
  <c r="C307"/>
  <c r="G307"/>
  <c r="F307"/>
  <c r="E307"/>
  <c r="H307" s="1"/>
  <c r="D307"/>
  <c r="T307"/>
  <c r="H306"/>
  <c r="I306" s="1"/>
  <c r="J306" s="1"/>
  <c r="K306" s="1"/>
  <c r="R306"/>
  <c r="AJ111" i="17"/>
  <c r="V110"/>
  <c r="J352" i="18"/>
  <c r="K351"/>
  <c r="R307" i="13" l="1"/>
  <c r="B309"/>
  <c r="F308"/>
  <c r="E308"/>
  <c r="D308"/>
  <c r="C308"/>
  <c r="G308"/>
  <c r="T308"/>
  <c r="I307"/>
  <c r="J307" s="1"/>
  <c r="K307" s="1"/>
  <c r="AJ112" i="17"/>
  <c r="V111"/>
  <c r="J353" i="18"/>
  <c r="K352"/>
  <c r="R308" i="13" l="1"/>
  <c r="I308"/>
  <c r="H308"/>
  <c r="B310"/>
  <c r="E309"/>
  <c r="D309"/>
  <c r="C309"/>
  <c r="G309"/>
  <c r="F309"/>
  <c r="T309"/>
  <c r="V112" i="17"/>
  <c r="AJ113"/>
  <c r="K353" i="18"/>
  <c r="J354"/>
  <c r="H309" i="13" l="1"/>
  <c r="I309" s="1"/>
  <c r="R309"/>
  <c r="J308"/>
  <c r="K308" s="1"/>
  <c r="B311"/>
  <c r="D310"/>
  <c r="C310"/>
  <c r="G310"/>
  <c r="F310"/>
  <c r="E310"/>
  <c r="T310"/>
  <c r="AJ114" i="17"/>
  <c r="V113"/>
  <c r="J355" i="18"/>
  <c r="K354"/>
  <c r="J309" i="13" l="1"/>
  <c r="K309" s="1"/>
  <c r="H310"/>
  <c r="I310" s="1"/>
  <c r="J310" s="1"/>
  <c r="K310" s="1"/>
  <c r="B312"/>
  <c r="C311"/>
  <c r="G311"/>
  <c r="F311"/>
  <c r="E311"/>
  <c r="H311" s="1"/>
  <c r="D311"/>
  <c r="T311"/>
  <c r="R311"/>
  <c r="R310"/>
  <c r="AJ115" i="17"/>
  <c r="V114"/>
  <c r="J356" i="18"/>
  <c r="K355"/>
  <c r="B313" i="13" l="1"/>
  <c r="F312"/>
  <c r="E312"/>
  <c r="D312"/>
  <c r="G312"/>
  <c r="C312"/>
  <c r="R312" s="1"/>
  <c r="T312"/>
  <c r="I311"/>
  <c r="J311" s="1"/>
  <c r="K311" s="1"/>
  <c r="V115" i="17"/>
  <c r="AJ116"/>
  <c r="J357" i="18"/>
  <c r="K356"/>
  <c r="I312" i="13" l="1"/>
  <c r="H312"/>
  <c r="B314"/>
  <c r="E313"/>
  <c r="D313"/>
  <c r="C313"/>
  <c r="G313"/>
  <c r="F313"/>
  <c r="T313"/>
  <c r="V116" i="17"/>
  <c r="AJ117"/>
  <c r="J358" i="18"/>
  <c r="K357"/>
  <c r="H313" i="13" l="1"/>
  <c r="I313" s="1"/>
  <c r="J313" s="1"/>
  <c r="K313" s="1"/>
  <c r="R313"/>
  <c r="J312"/>
  <c r="K312" s="1"/>
  <c r="B315"/>
  <c r="D314"/>
  <c r="C314"/>
  <c r="G314"/>
  <c r="F314"/>
  <c r="E314"/>
  <c r="T314"/>
  <c r="AJ118" i="17"/>
  <c r="V117"/>
  <c r="K358" i="18"/>
  <c r="J359"/>
  <c r="H314" i="13" l="1"/>
  <c r="I314" s="1"/>
  <c r="J314" s="1"/>
  <c r="K314" s="1"/>
  <c r="B316"/>
  <c r="C315"/>
  <c r="G315"/>
  <c r="F315"/>
  <c r="E315"/>
  <c r="H315" s="1"/>
  <c r="D315"/>
  <c r="T315"/>
  <c r="R314"/>
  <c r="AJ119" i="17"/>
  <c r="V118"/>
  <c r="J360" i="18"/>
  <c r="K359"/>
  <c r="R315" i="13" l="1"/>
  <c r="B317"/>
  <c r="F316"/>
  <c r="E316"/>
  <c r="D316"/>
  <c r="G316"/>
  <c r="C316"/>
  <c r="T316"/>
  <c r="I315"/>
  <c r="J315" s="1"/>
  <c r="K315" s="1"/>
  <c r="V119" i="17"/>
  <c r="AJ120"/>
  <c r="J361" i="18"/>
  <c r="K360"/>
  <c r="R316" i="13" l="1"/>
  <c r="I316"/>
  <c r="H316"/>
  <c r="B318"/>
  <c r="E317"/>
  <c r="D317"/>
  <c r="C317"/>
  <c r="G317"/>
  <c r="F317"/>
  <c r="T317"/>
  <c r="V120" i="17"/>
  <c r="AJ121"/>
  <c r="K361" i="18"/>
  <c r="J362"/>
  <c r="H317" i="13" l="1"/>
  <c r="I317" s="1"/>
  <c r="J317" s="1"/>
  <c r="K317" s="1"/>
  <c r="J316"/>
  <c r="K316" s="1"/>
  <c r="B319"/>
  <c r="D318"/>
  <c r="C318"/>
  <c r="R318" s="1"/>
  <c r="G318"/>
  <c r="F318"/>
  <c r="E318"/>
  <c r="T318"/>
  <c r="R317"/>
  <c r="AK90" i="17"/>
  <c r="AK91" s="1"/>
  <c r="V121"/>
  <c r="K362" i="18"/>
  <c r="J363"/>
  <c r="B320" i="13" l="1"/>
  <c r="C319"/>
  <c r="G319"/>
  <c r="F319"/>
  <c r="E319"/>
  <c r="H319" s="1"/>
  <c r="D319"/>
  <c r="T319"/>
  <c r="H318"/>
  <c r="I318" s="1"/>
  <c r="J318" s="1"/>
  <c r="K318" s="1"/>
  <c r="X91" i="17"/>
  <c r="AK92"/>
  <c r="J364" i="18"/>
  <c r="K363"/>
  <c r="R319" i="13" l="1"/>
  <c r="B321"/>
  <c r="F320"/>
  <c r="E320"/>
  <c r="D320"/>
  <c r="G320"/>
  <c r="C320"/>
  <c r="T320"/>
  <c r="I319"/>
  <c r="J319" s="1"/>
  <c r="K319" s="1"/>
  <c r="AK93" i="17"/>
  <c r="X92"/>
  <c r="J365" i="18"/>
  <c r="K364"/>
  <c r="R320" i="13" l="1"/>
  <c r="B322"/>
  <c r="E321"/>
  <c r="D321"/>
  <c r="C321"/>
  <c r="G321"/>
  <c r="F321"/>
  <c r="T321"/>
  <c r="I320"/>
  <c r="H320"/>
  <c r="AK94" i="17"/>
  <c r="X93"/>
  <c r="K365" i="18"/>
  <c r="J366"/>
  <c r="R321" i="13" l="1"/>
  <c r="B323"/>
  <c r="D322"/>
  <c r="C322"/>
  <c r="G322"/>
  <c r="F322"/>
  <c r="E322"/>
  <c r="T322"/>
  <c r="J320"/>
  <c r="K320" s="1"/>
  <c r="H321"/>
  <c r="I321" s="1"/>
  <c r="AK95" i="17"/>
  <c r="X94"/>
  <c r="K366" i="18"/>
  <c r="J367"/>
  <c r="B324" i="13" l="1"/>
  <c r="C323"/>
  <c r="G323"/>
  <c r="F323"/>
  <c r="E323"/>
  <c r="D323"/>
  <c r="T323"/>
  <c r="J321"/>
  <c r="K321" s="1"/>
  <c r="H322"/>
  <c r="I322" s="1"/>
  <c r="J322" s="1"/>
  <c r="K322" s="1"/>
  <c r="R322"/>
  <c r="X95" i="17"/>
  <c r="AK96"/>
  <c r="K367" i="18"/>
  <c r="J368"/>
  <c r="R323" i="13" l="1"/>
  <c r="H323"/>
  <c r="B325"/>
  <c r="F324"/>
  <c r="E324"/>
  <c r="D324"/>
  <c r="C324"/>
  <c r="R324" s="1"/>
  <c r="G324"/>
  <c r="T324"/>
  <c r="I323"/>
  <c r="J323" s="1"/>
  <c r="K323" s="1"/>
  <c r="AK97" i="17"/>
  <c r="X96"/>
  <c r="J369" i="18"/>
  <c r="K368"/>
  <c r="H324" i="13" l="1"/>
  <c r="I324" s="1"/>
  <c r="E325"/>
  <c r="D325"/>
  <c r="C325"/>
  <c r="G325"/>
  <c r="B326"/>
  <c r="F325"/>
  <c r="T325"/>
  <c r="AK98" i="17"/>
  <c r="X97"/>
  <c r="K369" i="18"/>
  <c r="J370"/>
  <c r="H325" i="13" l="1"/>
  <c r="I325" s="1"/>
  <c r="J325" s="1"/>
  <c r="K325" s="1"/>
  <c r="R325"/>
  <c r="J324"/>
  <c r="K324" s="1"/>
  <c r="B327"/>
  <c r="D326"/>
  <c r="C326"/>
  <c r="G326"/>
  <c r="F326"/>
  <c r="E326"/>
  <c r="T326"/>
  <c r="AK99" i="17"/>
  <c r="X98"/>
  <c r="J371" i="18"/>
  <c r="K370"/>
  <c r="H326" i="13" l="1"/>
  <c r="I326" s="1"/>
  <c r="J326" s="1"/>
  <c r="K326" s="1"/>
  <c r="R326"/>
  <c r="B328"/>
  <c r="C327"/>
  <c r="G327"/>
  <c r="F327"/>
  <c r="E327"/>
  <c r="D327"/>
  <c r="T327"/>
  <c r="X99" i="17"/>
  <c r="AK100"/>
  <c r="J372" i="18"/>
  <c r="K371"/>
  <c r="R327" i="13" l="1"/>
  <c r="H327"/>
  <c r="I327" s="1"/>
  <c r="J327" s="1"/>
  <c r="K327" s="1"/>
  <c r="B329"/>
  <c r="F328"/>
  <c r="E328"/>
  <c r="D328"/>
  <c r="G328"/>
  <c r="C328"/>
  <c r="T328"/>
  <c r="AK101" i="17"/>
  <c r="X100"/>
  <c r="J373" i="18"/>
  <c r="K372"/>
  <c r="R328" i="13" l="1"/>
  <c r="H328"/>
  <c r="I328" s="1"/>
  <c r="B330"/>
  <c r="E329"/>
  <c r="D329"/>
  <c r="C329"/>
  <c r="G329"/>
  <c r="F329"/>
  <c r="T329"/>
  <c r="AK102" i="17"/>
  <c r="X101"/>
  <c r="K373" i="18"/>
  <c r="J374"/>
  <c r="H329" i="13" l="1"/>
  <c r="I329" s="1"/>
  <c r="J329" s="1"/>
  <c r="K329" s="1"/>
  <c r="J328"/>
  <c r="K328" s="1"/>
  <c r="B331"/>
  <c r="D330"/>
  <c r="C330"/>
  <c r="G330"/>
  <c r="F330"/>
  <c r="E330"/>
  <c r="T330"/>
  <c r="R329"/>
  <c r="AK103" i="17"/>
  <c r="X102"/>
  <c r="J375" i="18"/>
  <c r="K374"/>
  <c r="R330" i="13" l="1"/>
  <c r="B332"/>
  <c r="C331"/>
  <c r="G331"/>
  <c r="F331"/>
  <c r="E331"/>
  <c r="D331"/>
  <c r="T331"/>
  <c r="I330"/>
  <c r="J330" s="1"/>
  <c r="K330" s="1"/>
  <c r="H330"/>
  <c r="X103" i="17"/>
  <c r="AK104"/>
  <c r="J376" i="18"/>
  <c r="K375"/>
  <c r="R331" i="13" l="1"/>
  <c r="H331"/>
  <c r="B333"/>
  <c r="F332"/>
  <c r="E332"/>
  <c r="D332"/>
  <c r="G332"/>
  <c r="C332"/>
  <c r="T332"/>
  <c r="I331"/>
  <c r="J331" s="1"/>
  <c r="K331" s="1"/>
  <c r="AK105" i="17"/>
  <c r="X104"/>
  <c r="J377" i="18"/>
  <c r="K376"/>
  <c r="R332" i="13" l="1"/>
  <c r="H332"/>
  <c r="I332" s="1"/>
  <c r="B334"/>
  <c r="E333"/>
  <c r="D333"/>
  <c r="C333"/>
  <c r="G333"/>
  <c r="F333"/>
  <c r="T333"/>
  <c r="AK106" i="17"/>
  <c r="X105"/>
  <c r="K377" i="18"/>
  <c r="J378"/>
  <c r="H333" i="13" l="1"/>
  <c r="I333" s="1"/>
  <c r="J333" s="1"/>
  <c r="K333" s="1"/>
  <c r="J332"/>
  <c r="K332" s="1"/>
  <c r="B335"/>
  <c r="D334"/>
  <c r="C334"/>
  <c r="G334"/>
  <c r="F334"/>
  <c r="E334"/>
  <c r="T334"/>
  <c r="R333"/>
  <c r="X106" i="17"/>
  <c r="AK107"/>
  <c r="J379" i="18"/>
  <c r="K378"/>
  <c r="R334" i="13" l="1"/>
  <c r="B336"/>
  <c r="C335"/>
  <c r="G335"/>
  <c r="F335"/>
  <c r="E335"/>
  <c r="D335"/>
  <c r="T335"/>
  <c r="I334"/>
  <c r="J334" s="1"/>
  <c r="K334" s="1"/>
  <c r="H334"/>
  <c r="X107" i="17"/>
  <c r="AK108"/>
  <c r="J380" i="18"/>
  <c r="K379"/>
  <c r="R335" i="13" l="1"/>
  <c r="H335"/>
  <c r="B337"/>
  <c r="F336"/>
  <c r="E336"/>
  <c r="D336"/>
  <c r="G336"/>
  <c r="C336"/>
  <c r="T336"/>
  <c r="I335"/>
  <c r="J335" s="1"/>
  <c r="K335" s="1"/>
  <c r="AK109" i="17"/>
  <c r="X108"/>
  <c r="K380" i="18"/>
  <c r="J381"/>
  <c r="R336" i="13" l="1"/>
  <c r="H336"/>
  <c r="I336" s="1"/>
  <c r="B338"/>
  <c r="E337"/>
  <c r="D337"/>
  <c r="C337"/>
  <c r="G337"/>
  <c r="F337"/>
  <c r="T337"/>
  <c r="AK110" i="17"/>
  <c r="X109"/>
  <c r="K381" i="18"/>
  <c r="J382"/>
  <c r="H337" i="13" l="1"/>
  <c r="I337" s="1"/>
  <c r="J337" s="1"/>
  <c r="K337" s="1"/>
  <c r="J336"/>
  <c r="K336" s="1"/>
  <c r="B339"/>
  <c r="D338"/>
  <c r="C338"/>
  <c r="G338"/>
  <c r="F338"/>
  <c r="E338"/>
  <c r="T338"/>
  <c r="R337"/>
  <c r="X110" i="17"/>
  <c r="AK111"/>
  <c r="K382" i="18"/>
  <c r="J383"/>
  <c r="R338" i="13" l="1"/>
  <c r="B340"/>
  <c r="C339"/>
  <c r="G339"/>
  <c r="F339"/>
  <c r="E339"/>
  <c r="D339"/>
  <c r="T339"/>
  <c r="I338"/>
  <c r="J338" s="1"/>
  <c r="K338" s="1"/>
  <c r="H338"/>
  <c r="X111" i="17"/>
  <c r="AK112"/>
  <c r="J384" i="18"/>
  <c r="K383"/>
  <c r="R339" i="13" l="1"/>
  <c r="H339"/>
  <c r="B341"/>
  <c r="F340"/>
  <c r="E340"/>
  <c r="D340"/>
  <c r="C340"/>
  <c r="G340"/>
  <c r="T340"/>
  <c r="I339"/>
  <c r="J339" s="1"/>
  <c r="K339" s="1"/>
  <c r="AK113" i="17"/>
  <c r="X112"/>
  <c r="K384" i="18"/>
  <c r="J385"/>
  <c r="R340" i="13" l="1"/>
  <c r="E341"/>
  <c r="D341"/>
  <c r="B342"/>
  <c r="C341"/>
  <c r="G341"/>
  <c r="F341"/>
  <c r="T341"/>
  <c r="H340"/>
  <c r="I340" s="1"/>
  <c r="AK114" i="17"/>
  <c r="X113"/>
  <c r="K385" i="18"/>
  <c r="J386"/>
  <c r="R341" i="13" l="1"/>
  <c r="J340"/>
  <c r="K340" s="1"/>
  <c r="B343"/>
  <c r="D342"/>
  <c r="C342"/>
  <c r="G342"/>
  <c r="F342"/>
  <c r="E342"/>
  <c r="T342"/>
  <c r="H341"/>
  <c r="X114" i="17"/>
  <c r="AK115"/>
  <c r="K386" i="18"/>
  <c r="J387"/>
  <c r="H342" i="13" l="1"/>
  <c r="I342" s="1"/>
  <c r="J342" s="1"/>
  <c r="K342" s="1"/>
  <c r="R342"/>
  <c r="B344"/>
  <c r="C343"/>
  <c r="G343"/>
  <c r="F343"/>
  <c r="E343"/>
  <c r="H343" s="1"/>
  <c r="D343"/>
  <c r="T343"/>
  <c r="I341"/>
  <c r="J341" s="1"/>
  <c r="K341" s="1"/>
  <c r="X115" i="17"/>
  <c r="AK116"/>
  <c r="J388" i="18"/>
  <c r="K387"/>
  <c r="R343" i="13" l="1"/>
  <c r="I343"/>
  <c r="J343" s="1"/>
  <c r="K343" s="1"/>
  <c r="B345"/>
  <c r="F344"/>
  <c r="E344"/>
  <c r="D344"/>
  <c r="G344"/>
  <c r="C344"/>
  <c r="T344"/>
  <c r="X116" i="17"/>
  <c r="AK117"/>
  <c r="K388" i="18"/>
  <c r="J389"/>
  <c r="R344" i="13" l="1"/>
  <c r="B346"/>
  <c r="E345"/>
  <c r="D345"/>
  <c r="C345"/>
  <c r="G345"/>
  <c r="F345"/>
  <c r="T345"/>
  <c r="I344"/>
  <c r="H344"/>
  <c r="AK118" i="17"/>
  <c r="X117"/>
  <c r="K389" i="18"/>
  <c r="J390"/>
  <c r="R345" i="13" l="1"/>
  <c r="B347"/>
  <c r="D346"/>
  <c r="C346"/>
  <c r="G346"/>
  <c r="F346"/>
  <c r="E346"/>
  <c r="T346"/>
  <c r="J344"/>
  <c r="K344" s="1"/>
  <c r="H345"/>
  <c r="I345" s="1"/>
  <c r="J345" s="1"/>
  <c r="K345" s="1"/>
  <c r="X118" i="17"/>
  <c r="AK119"/>
  <c r="K390" i="18"/>
  <c r="J391"/>
  <c r="B348" i="13" l="1"/>
  <c r="C347"/>
  <c r="G347"/>
  <c r="F347"/>
  <c r="E347"/>
  <c r="D347"/>
  <c r="T347"/>
  <c r="H346"/>
  <c r="I346" s="1"/>
  <c r="J346" s="1"/>
  <c r="K346" s="1"/>
  <c r="R346"/>
  <c r="AK120" i="17"/>
  <c r="X119"/>
  <c r="J392" i="18"/>
  <c r="K391"/>
  <c r="R347" i="13" l="1"/>
  <c r="H347"/>
  <c r="B349"/>
  <c r="F348"/>
  <c r="E348"/>
  <c r="D348"/>
  <c r="G348"/>
  <c r="C348"/>
  <c r="T348"/>
  <c r="I347"/>
  <c r="J347" s="1"/>
  <c r="K347" s="1"/>
  <c r="AL90" i="17"/>
  <c r="AL91" s="1"/>
  <c r="X120"/>
  <c r="J393" i="18"/>
  <c r="K392"/>
  <c r="R348" i="13" l="1"/>
  <c r="B350"/>
  <c r="E349"/>
  <c r="D349"/>
  <c r="C349"/>
  <c r="G349"/>
  <c r="F349"/>
  <c r="T349"/>
  <c r="H348"/>
  <c r="I348" s="1"/>
  <c r="Z91" i="17"/>
  <c r="AL92"/>
  <c r="K393" i="18"/>
  <c r="J394"/>
  <c r="H349" i="13" l="1"/>
  <c r="I349" s="1"/>
  <c r="J349" s="1"/>
  <c r="K349" s="1"/>
  <c r="B351"/>
  <c r="D350"/>
  <c r="C350"/>
  <c r="G350"/>
  <c r="F350"/>
  <c r="E350"/>
  <c r="T350"/>
  <c r="R349"/>
  <c r="J348"/>
  <c r="K348" s="1"/>
  <c r="AL93" i="17"/>
  <c r="Z92"/>
  <c r="K394" i="18"/>
  <c r="J395"/>
  <c r="B352" i="13" l="1"/>
  <c r="C351"/>
  <c r="G351"/>
  <c r="F351"/>
  <c r="E351"/>
  <c r="D351"/>
  <c r="T351"/>
  <c r="H350"/>
  <c r="I350" s="1"/>
  <c r="J350" s="1"/>
  <c r="K350" s="1"/>
  <c r="R350"/>
  <c r="AL94" i="17"/>
  <c r="Z93"/>
  <c r="J396" i="18"/>
  <c r="K395"/>
  <c r="R351" i="13" l="1"/>
  <c r="H351"/>
  <c r="B353"/>
  <c r="F352"/>
  <c r="E352"/>
  <c r="D352"/>
  <c r="G352"/>
  <c r="C352"/>
  <c r="T352"/>
  <c r="I351"/>
  <c r="J351" s="1"/>
  <c r="K351" s="1"/>
  <c r="Z94" i="17"/>
  <c r="AL95"/>
  <c r="J397" i="18"/>
  <c r="K396"/>
  <c r="R352" i="13" l="1"/>
  <c r="H352"/>
  <c r="I352" s="1"/>
  <c r="B354"/>
  <c r="E353"/>
  <c r="D353"/>
  <c r="C353"/>
  <c r="G353"/>
  <c r="F353"/>
  <c r="T353"/>
  <c r="Z95" i="17"/>
  <c r="AL96"/>
  <c r="K397" i="18"/>
  <c r="J398"/>
  <c r="H353" i="13" l="1"/>
  <c r="I353" s="1"/>
  <c r="J353" s="1"/>
  <c r="K353" s="1"/>
  <c r="J352"/>
  <c r="K352" s="1"/>
  <c r="B355"/>
  <c r="D354"/>
  <c r="C354"/>
  <c r="G354"/>
  <c r="F354"/>
  <c r="E354"/>
  <c r="T354"/>
  <c r="R353"/>
  <c r="AL97" i="17"/>
  <c r="Z96"/>
  <c r="J399" i="18"/>
  <c r="K398"/>
  <c r="R354" i="13" l="1"/>
  <c r="B356"/>
  <c r="C355"/>
  <c r="G355"/>
  <c r="F355"/>
  <c r="E355"/>
  <c r="D355"/>
  <c r="T355"/>
  <c r="I354"/>
  <c r="J354" s="1"/>
  <c r="K354" s="1"/>
  <c r="H354"/>
  <c r="AL98" i="17"/>
  <c r="Z97"/>
  <c r="J400" i="18"/>
  <c r="K399"/>
  <c r="R355" i="13" l="1"/>
  <c r="H355"/>
  <c r="B357"/>
  <c r="F356"/>
  <c r="E356"/>
  <c r="D356"/>
  <c r="C356"/>
  <c r="G356"/>
  <c r="T356"/>
  <c r="I355"/>
  <c r="J355" s="1"/>
  <c r="K355" s="1"/>
  <c r="Z98" i="17"/>
  <c r="AL99"/>
  <c r="J401" i="18"/>
  <c r="K400"/>
  <c r="R356" i="13" l="1"/>
  <c r="E357"/>
  <c r="B358"/>
  <c r="D357"/>
  <c r="C357"/>
  <c r="G357"/>
  <c r="F357"/>
  <c r="T357"/>
  <c r="H356"/>
  <c r="I356" s="1"/>
  <c r="AL100" i="17"/>
  <c r="Z99"/>
  <c r="K401" i="18"/>
  <c r="J402"/>
  <c r="H357" i="13" l="1"/>
  <c r="I357" s="1"/>
  <c r="J357" s="1"/>
  <c r="K357" s="1"/>
  <c r="J356"/>
  <c r="K356" s="1"/>
  <c r="B359"/>
  <c r="D358"/>
  <c r="C358"/>
  <c r="R358" s="1"/>
  <c r="G358"/>
  <c r="F358"/>
  <c r="E358"/>
  <c r="T358"/>
  <c r="R357"/>
  <c r="AL101" i="17"/>
  <c r="Z100"/>
  <c r="J403" i="18"/>
  <c r="K402"/>
  <c r="B360" i="13" l="1"/>
  <c r="C359"/>
  <c r="G359"/>
  <c r="F359"/>
  <c r="E359"/>
  <c r="H359" s="1"/>
  <c r="D359"/>
  <c r="T359"/>
  <c r="H358"/>
  <c r="I358" s="1"/>
  <c r="J358" s="1"/>
  <c r="K358" s="1"/>
  <c r="AL102" i="17"/>
  <c r="Z101"/>
  <c r="J404" i="18"/>
  <c r="K403"/>
  <c r="R359" i="13" l="1"/>
  <c r="B361"/>
  <c r="F360"/>
  <c r="E360"/>
  <c r="D360"/>
  <c r="G360"/>
  <c r="C360"/>
  <c r="T360"/>
  <c r="I359"/>
  <c r="J359" s="1"/>
  <c r="K359" s="1"/>
  <c r="Z102" i="17"/>
  <c r="AL103"/>
  <c r="J405" i="18"/>
  <c r="K404"/>
  <c r="R360" i="13" l="1"/>
  <c r="I360"/>
  <c r="H360"/>
  <c r="B362"/>
  <c r="E361"/>
  <c r="D361"/>
  <c r="C361"/>
  <c r="G361"/>
  <c r="F361"/>
  <c r="T361"/>
  <c r="AL104" i="17"/>
  <c r="Z103"/>
  <c r="K405" i="18"/>
  <c r="J406"/>
  <c r="H361" i="13" l="1"/>
  <c r="I361" s="1"/>
  <c r="J361" s="1"/>
  <c r="K361" s="1"/>
  <c r="R361"/>
  <c r="J360"/>
  <c r="K360" s="1"/>
  <c r="B363"/>
  <c r="D362"/>
  <c r="C362"/>
  <c r="G362"/>
  <c r="F362"/>
  <c r="E362"/>
  <c r="T362"/>
  <c r="AL105" i="17"/>
  <c r="Z104"/>
  <c r="J407" i="18"/>
  <c r="K406"/>
  <c r="H362" i="13" l="1"/>
  <c r="I362" s="1"/>
  <c r="J362" s="1"/>
  <c r="K362" s="1"/>
  <c r="B364"/>
  <c r="C363"/>
  <c r="G363"/>
  <c r="F363"/>
  <c r="E363"/>
  <c r="H363" s="1"/>
  <c r="D363"/>
  <c r="T363"/>
  <c r="R362"/>
  <c r="Z105" i="17"/>
  <c r="AL106"/>
  <c r="J408" i="18"/>
  <c r="K407"/>
  <c r="R363" i="13" l="1"/>
  <c r="B365"/>
  <c r="F364"/>
  <c r="E364"/>
  <c r="D364"/>
  <c r="G364"/>
  <c r="C364"/>
  <c r="T364"/>
  <c r="I363"/>
  <c r="J363" s="1"/>
  <c r="K363" s="1"/>
  <c r="Z106" i="17"/>
  <c r="AL107"/>
  <c r="J409" i="18"/>
  <c r="K408"/>
  <c r="R364" i="13" l="1"/>
  <c r="I364"/>
  <c r="H364"/>
  <c r="B366"/>
  <c r="E365"/>
  <c r="D365"/>
  <c r="C365"/>
  <c r="G365"/>
  <c r="F365"/>
  <c r="T365"/>
  <c r="AL108" i="17"/>
  <c r="Z107"/>
  <c r="K409" i="18"/>
  <c r="J410"/>
  <c r="H365" i="13" l="1"/>
  <c r="I365" s="1"/>
  <c r="J365" s="1"/>
  <c r="K365" s="1"/>
  <c r="J364"/>
  <c r="K364" s="1"/>
  <c r="B367"/>
  <c r="D366"/>
  <c r="C366"/>
  <c r="R366" s="1"/>
  <c r="G366"/>
  <c r="F366"/>
  <c r="E366"/>
  <c r="T366"/>
  <c r="R365"/>
  <c r="AL109" i="17"/>
  <c r="Z108"/>
  <c r="J411" i="18"/>
  <c r="K410"/>
  <c r="B368" i="13" l="1"/>
  <c r="C367"/>
  <c r="G367"/>
  <c r="F367"/>
  <c r="E367"/>
  <c r="H367" s="1"/>
  <c r="D367"/>
  <c r="T367"/>
  <c r="H366"/>
  <c r="I366" s="1"/>
  <c r="J366" s="1"/>
  <c r="K366" s="1"/>
  <c r="Z109" i="17"/>
  <c r="AL110"/>
  <c r="J412" i="18"/>
  <c r="K411"/>
  <c r="R367" i="13" l="1"/>
  <c r="B369"/>
  <c r="F368"/>
  <c r="E368"/>
  <c r="D368"/>
  <c r="G368"/>
  <c r="C368"/>
  <c r="T368"/>
  <c r="I367"/>
  <c r="J367" s="1"/>
  <c r="K367" s="1"/>
  <c r="Z110" i="17"/>
  <c r="AL111"/>
  <c r="J413" i="18"/>
  <c r="K412"/>
  <c r="R368" i="13" l="1"/>
  <c r="I368"/>
  <c r="H368"/>
  <c r="B370"/>
  <c r="E369"/>
  <c r="D369"/>
  <c r="C369"/>
  <c r="G369"/>
  <c r="F369"/>
  <c r="T369"/>
  <c r="AL112" i="17"/>
  <c r="Z111"/>
  <c r="K413" i="18"/>
  <c r="J414"/>
  <c r="H369" i="13" l="1"/>
  <c r="I369" s="1"/>
  <c r="J369" s="1"/>
  <c r="K369" s="1"/>
  <c r="J368"/>
  <c r="K368" s="1"/>
  <c r="B371"/>
  <c r="D370"/>
  <c r="C370"/>
  <c r="R370" s="1"/>
  <c r="G370"/>
  <c r="F370"/>
  <c r="E370"/>
  <c r="T370"/>
  <c r="R369"/>
  <c r="AL113" i="17"/>
  <c r="Z112"/>
  <c r="J415" i="18"/>
  <c r="K414"/>
  <c r="B372" i="13" l="1"/>
  <c r="C371"/>
  <c r="G371"/>
  <c r="F371"/>
  <c r="E371"/>
  <c r="H371" s="1"/>
  <c r="D371"/>
  <c r="T371"/>
  <c r="H370"/>
  <c r="I370" s="1"/>
  <c r="J370" s="1"/>
  <c r="K370" s="1"/>
  <c r="Z113" i="17"/>
  <c r="AL114"/>
  <c r="J416" i="18"/>
  <c r="K415"/>
  <c r="R371" i="13" l="1"/>
  <c r="B373"/>
  <c r="F372"/>
  <c r="E372"/>
  <c r="D372"/>
  <c r="C372"/>
  <c r="G372"/>
  <c r="T372"/>
  <c r="I371"/>
  <c r="J371" s="1"/>
  <c r="K371" s="1"/>
  <c r="Z114" i="17"/>
  <c r="AL115"/>
  <c r="J417" i="18"/>
  <c r="K416"/>
  <c r="R372" i="13" l="1"/>
  <c r="B374"/>
  <c r="E373"/>
  <c r="D373"/>
  <c r="C373"/>
  <c r="G373"/>
  <c r="F373"/>
  <c r="T373"/>
  <c r="I372"/>
  <c r="H372"/>
  <c r="AL116" i="17"/>
  <c r="Z115"/>
  <c r="K417" i="18"/>
  <c r="J418"/>
  <c r="R373" i="13" l="1"/>
  <c r="B375"/>
  <c r="D374"/>
  <c r="C374"/>
  <c r="G374"/>
  <c r="F374"/>
  <c r="E374"/>
  <c r="T374"/>
  <c r="J372"/>
  <c r="K372" s="1"/>
  <c r="H373"/>
  <c r="I373" s="1"/>
  <c r="Z116" i="17"/>
  <c r="AL117"/>
  <c r="J419" i="18"/>
  <c r="K418"/>
  <c r="B376" i="13" l="1"/>
  <c r="C375"/>
  <c r="G375"/>
  <c r="F375"/>
  <c r="E375"/>
  <c r="D375"/>
  <c r="T375"/>
  <c r="J373"/>
  <c r="K373" s="1"/>
  <c r="H374"/>
  <c r="I374" s="1"/>
  <c r="J374" s="1"/>
  <c r="K374" s="1"/>
  <c r="R374"/>
  <c r="AL118" i="17"/>
  <c r="Z117"/>
  <c r="J420" i="18"/>
  <c r="K419"/>
  <c r="R375" i="13" l="1"/>
  <c r="H375"/>
  <c r="B377"/>
  <c r="F376"/>
  <c r="E376"/>
  <c r="D376"/>
  <c r="G376"/>
  <c r="C376"/>
  <c r="T376"/>
  <c r="I375"/>
  <c r="J375" s="1"/>
  <c r="K375" s="1"/>
  <c r="Z118" i="17"/>
  <c r="AL119"/>
  <c r="J421" i="18"/>
  <c r="K420"/>
  <c r="R376" i="13" l="1"/>
  <c r="H376"/>
  <c r="I376" s="1"/>
  <c r="B378"/>
  <c r="E377"/>
  <c r="D377"/>
  <c r="C377"/>
  <c r="G377"/>
  <c r="F377"/>
  <c r="T377"/>
  <c r="Z119" i="17"/>
  <c r="AL120"/>
  <c r="K421" i="18"/>
  <c r="J422"/>
  <c r="H377" i="13" l="1"/>
  <c r="I377" s="1"/>
  <c r="J377" s="1"/>
  <c r="K377" s="1"/>
  <c r="R377"/>
  <c r="J376"/>
  <c r="K376" s="1"/>
  <c r="B379"/>
  <c r="D378"/>
  <c r="C378"/>
  <c r="G378"/>
  <c r="F378"/>
  <c r="E378"/>
  <c r="T378"/>
  <c r="AL121" i="17"/>
  <c r="Z121" s="1"/>
  <c r="Z120"/>
  <c r="J423" i="18"/>
  <c r="K422"/>
  <c r="H378" i="13" l="1"/>
  <c r="I378" s="1"/>
  <c r="J378" s="1"/>
  <c r="K378" s="1"/>
  <c r="B380"/>
  <c r="C379"/>
  <c r="G379"/>
  <c r="F379"/>
  <c r="E379"/>
  <c r="D379"/>
  <c r="T379"/>
  <c r="R378"/>
  <c r="J424" i="18"/>
  <c r="K423"/>
  <c r="H379" i="13" l="1"/>
  <c r="I379" s="1"/>
  <c r="J379" s="1"/>
  <c r="K379" s="1"/>
  <c r="R379"/>
  <c r="B381"/>
  <c r="F380"/>
  <c r="E380"/>
  <c r="D380"/>
  <c r="G380"/>
  <c r="C380"/>
  <c r="T380"/>
  <c r="J425" i="18"/>
  <c r="K424"/>
  <c r="R380" i="13" l="1"/>
  <c r="B382"/>
  <c r="E381"/>
  <c r="D381"/>
  <c r="C381"/>
  <c r="G381"/>
  <c r="F381"/>
  <c r="T381"/>
  <c r="H380"/>
  <c r="I380" s="1"/>
  <c r="K425" i="18"/>
  <c r="J426"/>
  <c r="R381" i="13" l="1"/>
  <c r="B383"/>
  <c r="D382"/>
  <c r="C382"/>
  <c r="G382"/>
  <c r="F382"/>
  <c r="E382"/>
  <c r="T382"/>
  <c r="J380"/>
  <c r="K380" s="1"/>
  <c r="H381"/>
  <c r="I381" s="1"/>
  <c r="J381" s="1"/>
  <c r="K381" s="1"/>
  <c r="J427" i="18"/>
  <c r="K426"/>
  <c r="B384" i="13" l="1"/>
  <c r="C383"/>
  <c r="G383"/>
  <c r="F383"/>
  <c r="E383"/>
  <c r="H383" s="1"/>
  <c r="D383"/>
  <c r="T383"/>
  <c r="H382"/>
  <c r="I382" s="1"/>
  <c r="J382" s="1"/>
  <c r="K382" s="1"/>
  <c r="R382"/>
  <c r="K427" i="18"/>
  <c r="J428"/>
  <c r="K428" s="1"/>
  <c r="R383" i="13" l="1"/>
  <c r="B385"/>
  <c r="F384"/>
  <c r="E384"/>
  <c r="D384"/>
  <c r="G384"/>
  <c r="C384"/>
  <c r="T384"/>
  <c r="I383"/>
  <c r="J383" s="1"/>
  <c r="K383" s="1"/>
  <c r="D85" i="17"/>
  <c r="F86"/>
  <c r="E86"/>
  <c r="D87"/>
  <c r="R384" i="13" l="1"/>
  <c r="B386"/>
  <c r="E385"/>
  <c r="D385"/>
  <c r="C385"/>
  <c r="G385"/>
  <c r="F385"/>
  <c r="T385"/>
  <c r="H384"/>
  <c r="I384" s="1"/>
  <c r="P16" i="15"/>
  <c r="H23" s="1"/>
  <c r="H385" i="13" l="1"/>
  <c r="I385" s="1"/>
  <c r="J385" s="1"/>
  <c r="K385" s="1"/>
  <c r="B387"/>
  <c r="D386"/>
  <c r="C386"/>
  <c r="G386"/>
  <c r="F386"/>
  <c r="E386"/>
  <c r="T386"/>
  <c r="J384"/>
  <c r="K384" s="1"/>
  <c r="R385"/>
  <c r="B388" l="1"/>
  <c r="C387"/>
  <c r="G387"/>
  <c r="F387"/>
  <c r="E387"/>
  <c r="H387" s="1"/>
  <c r="D387"/>
  <c r="T387"/>
  <c r="H386"/>
  <c r="I386" s="1"/>
  <c r="J386" s="1"/>
  <c r="K386" s="1"/>
  <c r="R386"/>
  <c r="R387" l="1"/>
  <c r="B389"/>
  <c r="F388"/>
  <c r="E388"/>
  <c r="D388"/>
  <c r="C388"/>
  <c r="G388"/>
  <c r="T388"/>
  <c r="I387"/>
  <c r="J387" s="1"/>
  <c r="K387" s="1"/>
  <c r="R388" l="1"/>
  <c r="E389"/>
  <c r="D389"/>
  <c r="C389"/>
  <c r="G389"/>
  <c r="B390"/>
  <c r="F389"/>
  <c r="T389"/>
  <c r="I388"/>
  <c r="H388"/>
  <c r="B391" l="1"/>
  <c r="D390"/>
  <c r="C390"/>
  <c r="G390"/>
  <c r="F390"/>
  <c r="E390"/>
  <c r="T390"/>
  <c r="J388"/>
  <c r="K388" s="1"/>
  <c r="H389"/>
  <c r="I389" s="1"/>
  <c r="J389" s="1"/>
  <c r="K389" s="1"/>
  <c r="R389"/>
  <c r="B392" l="1"/>
  <c r="C391"/>
  <c r="G391"/>
  <c r="F391"/>
  <c r="E391"/>
  <c r="H391" s="1"/>
  <c r="D391"/>
  <c r="T391"/>
  <c r="H390"/>
  <c r="I390" s="1"/>
  <c r="J390" s="1"/>
  <c r="K390" s="1"/>
  <c r="R390"/>
  <c r="R391" l="1"/>
  <c r="B393"/>
  <c r="F392"/>
  <c r="E392"/>
  <c r="D392"/>
  <c r="G392"/>
  <c r="C392"/>
  <c r="T392"/>
  <c r="I391"/>
  <c r="J391" s="1"/>
  <c r="K391" s="1"/>
  <c r="R392" l="1"/>
  <c r="B394"/>
  <c r="E393"/>
  <c r="D393"/>
  <c r="C393"/>
  <c r="G393"/>
  <c r="F393"/>
  <c r="T393"/>
  <c r="H392"/>
  <c r="I392" s="1"/>
  <c r="H393" l="1"/>
  <c r="I393" s="1"/>
  <c r="J393" s="1"/>
  <c r="K393" s="1"/>
  <c r="B395"/>
  <c r="D394"/>
  <c r="C394"/>
  <c r="G394"/>
  <c r="F394"/>
  <c r="E394"/>
  <c r="T394"/>
  <c r="J392"/>
  <c r="K392" s="1"/>
  <c r="R393"/>
  <c r="B396" l="1"/>
  <c r="C395"/>
  <c r="G395"/>
  <c r="F395"/>
  <c r="E395"/>
  <c r="D395"/>
  <c r="T395"/>
  <c r="H394"/>
  <c r="I394" s="1"/>
  <c r="J394" s="1"/>
  <c r="K394" s="1"/>
  <c r="R394"/>
  <c r="R395" l="1"/>
  <c r="H395"/>
  <c r="B397"/>
  <c r="F396"/>
  <c r="E396"/>
  <c r="D396"/>
  <c r="G396"/>
  <c r="C396"/>
  <c r="T396"/>
  <c r="I395"/>
  <c r="J395" s="1"/>
  <c r="K395" s="1"/>
  <c r="R396" l="1"/>
  <c r="B398"/>
  <c r="E397"/>
  <c r="D397"/>
  <c r="C397"/>
  <c r="G397"/>
  <c r="F397"/>
  <c r="T397"/>
  <c r="H396"/>
  <c r="I396" s="1"/>
  <c r="R397" l="1"/>
  <c r="H397"/>
  <c r="I397" s="1"/>
  <c r="J397" s="1"/>
  <c r="K397" s="1"/>
  <c r="B399"/>
  <c r="D398"/>
  <c r="C398"/>
  <c r="G398"/>
  <c r="F398"/>
  <c r="E398"/>
  <c r="T398"/>
  <c r="J396"/>
  <c r="K396" s="1"/>
  <c r="B400" l="1"/>
  <c r="C399"/>
  <c r="G399"/>
  <c r="F399"/>
  <c r="E399"/>
  <c r="H399" s="1"/>
  <c r="D399"/>
  <c r="T399"/>
  <c r="H398"/>
  <c r="I398" s="1"/>
  <c r="J398" s="1"/>
  <c r="K398" s="1"/>
  <c r="R398"/>
  <c r="R399" l="1"/>
  <c r="B401"/>
  <c r="F400"/>
  <c r="E400"/>
  <c r="D400"/>
  <c r="G400"/>
  <c r="C400"/>
  <c r="T400"/>
  <c r="I399"/>
  <c r="J399" s="1"/>
  <c r="K399" s="1"/>
  <c r="R400" l="1"/>
  <c r="I400"/>
  <c r="H400"/>
  <c r="B402"/>
  <c r="D401"/>
  <c r="C401"/>
  <c r="G401"/>
  <c r="F401"/>
  <c r="E401"/>
  <c r="T401"/>
  <c r="H401" l="1"/>
  <c r="I401" s="1"/>
  <c r="J401" s="1"/>
  <c r="K401" s="1"/>
  <c r="J400"/>
  <c r="K400" s="1"/>
  <c r="B403"/>
  <c r="C402"/>
  <c r="G402"/>
  <c r="F402"/>
  <c r="E402"/>
  <c r="D402"/>
  <c r="T402"/>
  <c r="R402"/>
  <c r="R401"/>
  <c r="B404" l="1"/>
  <c r="F403"/>
  <c r="E403"/>
  <c r="G403"/>
  <c r="D403"/>
  <c r="C403"/>
  <c r="T403"/>
  <c r="H402"/>
  <c r="I402" s="1"/>
  <c r="J402" s="1"/>
  <c r="K402" s="1"/>
  <c r="R403" l="1"/>
  <c r="B405"/>
  <c r="D404"/>
  <c r="C404"/>
  <c r="G404"/>
  <c r="F404"/>
  <c r="E404"/>
  <c r="H404" s="1"/>
  <c r="T404"/>
  <c r="H403"/>
  <c r="I403" s="1"/>
  <c r="J403" s="1"/>
  <c r="K403" s="1"/>
  <c r="I404" l="1"/>
  <c r="J404" s="1"/>
  <c r="K404" s="1"/>
  <c r="R404"/>
  <c r="B406"/>
  <c r="C405"/>
  <c r="G405"/>
  <c r="D405"/>
  <c r="F405"/>
  <c r="E405"/>
  <c r="T405"/>
  <c r="B407" l="1"/>
  <c r="F406"/>
  <c r="D406"/>
  <c r="R406" s="1"/>
  <c r="C406"/>
  <c r="G406"/>
  <c r="E406"/>
  <c r="T406"/>
  <c r="H405"/>
  <c r="R405"/>
  <c r="B408" l="1"/>
  <c r="E407"/>
  <c r="D407"/>
  <c r="R407" s="1"/>
  <c r="C407"/>
  <c r="G407"/>
  <c r="F407"/>
  <c r="T407"/>
  <c r="I405"/>
  <c r="J405" s="1"/>
  <c r="K405" s="1"/>
  <c r="H406"/>
  <c r="I406" s="1"/>
  <c r="J406" s="1"/>
  <c r="K406" s="1"/>
  <c r="H407" l="1"/>
  <c r="B409"/>
  <c r="D408"/>
  <c r="E408"/>
  <c r="C408"/>
  <c r="G408"/>
  <c r="F408"/>
  <c r="T408"/>
  <c r="I407"/>
  <c r="J407" s="1"/>
  <c r="K407" s="1"/>
  <c r="R408" l="1"/>
  <c r="H408"/>
  <c r="B410"/>
  <c r="C409"/>
  <c r="G409"/>
  <c r="E409"/>
  <c r="D409"/>
  <c r="F409"/>
  <c r="T409"/>
  <c r="I408"/>
  <c r="J408" s="1"/>
  <c r="K408" s="1"/>
  <c r="H409" l="1"/>
  <c r="B411"/>
  <c r="F410"/>
  <c r="E410"/>
  <c r="D410"/>
  <c r="C410"/>
  <c r="G410"/>
  <c r="T410"/>
  <c r="I409"/>
  <c r="J409" s="1"/>
  <c r="K409" s="1"/>
  <c r="R409"/>
  <c r="H410" l="1"/>
  <c r="I410" s="1"/>
  <c r="J410" s="1"/>
  <c r="K410" s="1"/>
  <c r="B412"/>
  <c r="E411"/>
  <c r="F411"/>
  <c r="D411"/>
  <c r="C411"/>
  <c r="G411"/>
  <c r="T411"/>
  <c r="R411"/>
  <c r="R410"/>
  <c r="B413" l="1"/>
  <c r="D412"/>
  <c r="F412"/>
  <c r="E412"/>
  <c r="C412"/>
  <c r="R412" s="1"/>
  <c r="G412"/>
  <c r="T412"/>
  <c r="H411"/>
  <c r="I411" s="1"/>
  <c r="J411" s="1"/>
  <c r="K411" s="1"/>
  <c r="B414" l="1"/>
  <c r="C413"/>
  <c r="G413"/>
  <c r="F413"/>
  <c r="E413"/>
  <c r="D413"/>
  <c r="T413"/>
  <c r="H412"/>
  <c r="I412" s="1"/>
  <c r="B415" l="1"/>
  <c r="F414"/>
  <c r="G414"/>
  <c r="E414"/>
  <c r="D414"/>
  <c r="C414"/>
  <c r="T414"/>
  <c r="J412"/>
  <c r="K412" s="1"/>
  <c r="H413"/>
  <c r="R413"/>
  <c r="H414" l="1"/>
  <c r="B416"/>
  <c r="E415"/>
  <c r="G415"/>
  <c r="F415"/>
  <c r="D415"/>
  <c r="C415"/>
  <c r="T415"/>
  <c r="I414"/>
  <c r="J414" s="1"/>
  <c r="K414" s="1"/>
  <c r="I413"/>
  <c r="J413" s="1"/>
  <c r="K413" s="1"/>
  <c r="R414"/>
  <c r="R415" l="1"/>
  <c r="H415"/>
  <c r="B417"/>
  <c r="D416"/>
  <c r="G416"/>
  <c r="F416"/>
  <c r="E416"/>
  <c r="H416" s="1"/>
  <c r="C416"/>
  <c r="R416" s="1"/>
  <c r="T416"/>
  <c r="I416" l="1"/>
  <c r="B418"/>
  <c r="C417"/>
  <c r="G417"/>
  <c r="F417"/>
  <c r="E417"/>
  <c r="D417"/>
  <c r="T417"/>
  <c r="J416"/>
  <c r="K416" s="1"/>
  <c r="I415"/>
  <c r="J415" s="1"/>
  <c r="K415" s="1"/>
  <c r="H417" l="1"/>
  <c r="I417" s="1"/>
  <c r="J417" s="1"/>
  <c r="K417" s="1"/>
  <c r="B419"/>
  <c r="F418"/>
  <c r="C418"/>
  <c r="G418"/>
  <c r="E418"/>
  <c r="D418"/>
  <c r="T418"/>
  <c r="R417"/>
  <c r="R418" l="1"/>
  <c r="B420"/>
  <c r="E419"/>
  <c r="H419" s="1"/>
  <c r="C419"/>
  <c r="G419"/>
  <c r="F419"/>
  <c r="D419"/>
  <c r="T419"/>
  <c r="H418"/>
  <c r="I418" s="1"/>
  <c r="J418" s="1"/>
  <c r="K418" s="1"/>
  <c r="R419" l="1"/>
  <c r="I419"/>
  <c r="J419" s="1"/>
  <c r="K419" s="1"/>
  <c r="B421"/>
  <c r="D420"/>
  <c r="C420"/>
  <c r="R420" s="1"/>
  <c r="G420"/>
  <c r="F420"/>
  <c r="E420"/>
  <c r="T420"/>
  <c r="H420" l="1"/>
  <c r="B422"/>
  <c r="C421"/>
  <c r="G421"/>
  <c r="D421"/>
  <c r="F421"/>
  <c r="E421"/>
  <c r="T421"/>
  <c r="I420"/>
  <c r="J420" s="1"/>
  <c r="K420" s="1"/>
  <c r="I421" l="1"/>
  <c r="J421" s="1"/>
  <c r="K421" s="1"/>
  <c r="H421"/>
  <c r="B423"/>
  <c r="F422"/>
  <c r="D422"/>
  <c r="C422"/>
  <c r="G422"/>
  <c r="E422"/>
  <c r="T422"/>
  <c r="R421"/>
  <c r="H422" l="1"/>
  <c r="I422" s="1"/>
  <c r="J422" s="1"/>
  <c r="K422" s="1"/>
  <c r="B424"/>
  <c r="E423"/>
  <c r="D423"/>
  <c r="C423"/>
  <c r="G423"/>
  <c r="F423"/>
  <c r="T423"/>
  <c r="R422"/>
  <c r="H423" l="1"/>
  <c r="I423" s="1"/>
  <c r="J423" s="1"/>
  <c r="K423" s="1"/>
  <c r="R423"/>
  <c r="B425"/>
  <c r="D424"/>
  <c r="E424"/>
  <c r="H424" s="1"/>
  <c r="C424"/>
  <c r="G424"/>
  <c r="F424"/>
  <c r="T424"/>
  <c r="R424" l="1"/>
  <c r="B426"/>
  <c r="C425"/>
  <c r="G425"/>
  <c r="E425"/>
  <c r="D425"/>
  <c r="F425"/>
  <c r="T425"/>
  <c r="I424"/>
  <c r="J424" s="1"/>
  <c r="K424" s="1"/>
  <c r="H425" l="1"/>
  <c r="B427"/>
  <c r="F426"/>
  <c r="E426"/>
  <c r="D426"/>
  <c r="C426"/>
  <c r="G426"/>
  <c r="T426"/>
  <c r="I425"/>
  <c r="J425" s="1"/>
  <c r="K425" s="1"/>
  <c r="R425"/>
  <c r="H426" l="1"/>
  <c r="B428"/>
  <c r="E427"/>
  <c r="F427"/>
  <c r="D427"/>
  <c r="C427"/>
  <c r="G427"/>
  <c r="T427"/>
  <c r="I426"/>
  <c r="J426" s="1"/>
  <c r="K426" s="1"/>
  <c r="R426"/>
  <c r="R427" l="1"/>
  <c r="B429"/>
  <c r="D428"/>
  <c r="F428"/>
  <c r="E428"/>
  <c r="C428"/>
  <c r="R428" s="1"/>
  <c r="G428"/>
  <c r="T428"/>
  <c r="H427"/>
  <c r="B430" l="1"/>
  <c r="C429"/>
  <c r="G429"/>
  <c r="F429"/>
  <c r="E429"/>
  <c r="D429"/>
  <c r="T429"/>
  <c r="I427"/>
  <c r="J427" s="1"/>
  <c r="K427" s="1"/>
  <c r="H428"/>
  <c r="R429" l="1"/>
  <c r="B431"/>
  <c r="F430"/>
  <c r="G430"/>
  <c r="E430"/>
  <c r="D430"/>
  <c r="C430"/>
  <c r="T430"/>
  <c r="I428"/>
  <c r="J428" s="1"/>
  <c r="K428" s="1"/>
  <c r="H429"/>
  <c r="I429" s="1"/>
  <c r="J429" s="1"/>
  <c r="K429" s="1"/>
  <c r="H430" l="1"/>
  <c r="I430" s="1"/>
  <c r="J430" s="1"/>
  <c r="K430" s="1"/>
  <c r="B432"/>
  <c r="E431"/>
  <c r="G431"/>
  <c r="F431"/>
  <c r="D431"/>
  <c r="C431"/>
  <c r="T431"/>
  <c r="R430"/>
  <c r="R431" l="1"/>
  <c r="B433"/>
  <c r="D432"/>
  <c r="G432"/>
  <c r="F432"/>
  <c r="E432"/>
  <c r="C432"/>
  <c r="R432" s="1"/>
  <c r="T432"/>
  <c r="H431"/>
  <c r="I431" s="1"/>
  <c r="H432" l="1"/>
  <c r="B434"/>
  <c r="C433"/>
  <c r="G433"/>
  <c r="F433"/>
  <c r="E433"/>
  <c r="D433"/>
  <c r="T433"/>
  <c r="I432"/>
  <c r="J432" s="1"/>
  <c r="K432" s="1"/>
  <c r="J431"/>
  <c r="K431" s="1"/>
  <c r="B435" l="1"/>
  <c r="F434"/>
  <c r="C434"/>
  <c r="G434"/>
  <c r="E434"/>
  <c r="D434"/>
  <c r="T434"/>
  <c r="H433"/>
  <c r="I433" s="1"/>
  <c r="J433" s="1"/>
  <c r="K433" s="1"/>
  <c r="R433"/>
  <c r="H434" l="1"/>
  <c r="I434" s="1"/>
  <c r="J434" s="1"/>
  <c r="K434" s="1"/>
  <c r="B436"/>
  <c r="E435"/>
  <c r="C435"/>
  <c r="G435"/>
  <c r="F435"/>
  <c r="D435"/>
  <c r="T435"/>
  <c r="R434"/>
  <c r="R435" l="1"/>
  <c r="B437"/>
  <c r="D436"/>
  <c r="C436"/>
  <c r="G436"/>
  <c r="F436"/>
  <c r="E436"/>
  <c r="T436"/>
  <c r="H435"/>
  <c r="I435" s="1"/>
  <c r="R436" l="1"/>
  <c r="B438"/>
  <c r="C437"/>
  <c r="G437"/>
  <c r="D437"/>
  <c r="F437"/>
  <c r="E437"/>
  <c r="T437"/>
  <c r="J435"/>
  <c r="K435" s="1"/>
  <c r="H436"/>
  <c r="R437" l="1"/>
  <c r="B439"/>
  <c r="F438"/>
  <c r="D438"/>
  <c r="C438"/>
  <c r="G438"/>
  <c r="E438"/>
  <c r="T438"/>
  <c r="I436"/>
  <c r="J436" s="1"/>
  <c r="K436" s="1"/>
  <c r="H437"/>
  <c r="I437" s="1"/>
  <c r="R438" l="1"/>
  <c r="B440"/>
  <c r="E439"/>
  <c r="D439"/>
  <c r="C439"/>
  <c r="G439"/>
  <c r="F439"/>
  <c r="T439"/>
  <c r="J437"/>
  <c r="K437" s="1"/>
  <c r="H438"/>
  <c r="I438" s="1"/>
  <c r="J438" s="1"/>
  <c r="K438" s="1"/>
  <c r="H439" l="1"/>
  <c r="I439" s="1"/>
  <c r="J439" s="1"/>
  <c r="K439" s="1"/>
  <c r="R439"/>
  <c r="B441"/>
  <c r="D440"/>
  <c r="R440" s="1"/>
  <c r="E440"/>
  <c r="C440"/>
  <c r="G440"/>
  <c r="F440"/>
  <c r="T440"/>
  <c r="B442" l="1"/>
  <c r="C441"/>
  <c r="H441" s="1"/>
  <c r="G441"/>
  <c r="E441"/>
  <c r="D441"/>
  <c r="F441"/>
  <c r="T441"/>
  <c r="H440"/>
  <c r="I440" s="1"/>
  <c r="B443" l="1"/>
  <c r="F442"/>
  <c r="E442"/>
  <c r="D442"/>
  <c r="C442"/>
  <c r="G442"/>
  <c r="T442"/>
  <c r="J440"/>
  <c r="K440" s="1"/>
  <c r="I441"/>
  <c r="J441" s="1"/>
  <c r="K441" s="1"/>
  <c r="R441"/>
  <c r="H442" l="1"/>
  <c r="B444"/>
  <c r="E443"/>
  <c r="F443"/>
  <c r="D443"/>
  <c r="C443"/>
  <c r="G443"/>
  <c r="T443"/>
  <c r="I442"/>
  <c r="J442" s="1"/>
  <c r="K442" s="1"/>
  <c r="R442"/>
  <c r="R443" l="1"/>
  <c r="H443"/>
  <c r="B445"/>
  <c r="D444"/>
  <c r="F444"/>
  <c r="E444"/>
  <c r="H444" s="1"/>
  <c r="C444"/>
  <c r="G444"/>
  <c r="T444"/>
  <c r="R444" l="1"/>
  <c r="B446"/>
  <c r="C445"/>
  <c r="G445"/>
  <c r="F445"/>
  <c r="E445"/>
  <c r="D445"/>
  <c r="T445"/>
  <c r="J443"/>
  <c r="K443" s="1"/>
  <c r="I443"/>
  <c r="I444"/>
  <c r="J444" s="1"/>
  <c r="K444" s="1"/>
  <c r="H445" l="1"/>
  <c r="I445" s="1"/>
  <c r="J445" s="1"/>
  <c r="K445" s="1"/>
  <c r="B447"/>
  <c r="F446"/>
  <c r="G446"/>
  <c r="E446"/>
  <c r="D446"/>
  <c r="C446"/>
  <c r="T446"/>
  <c r="R445"/>
  <c r="R446" l="1"/>
  <c r="B448"/>
  <c r="E447"/>
  <c r="G447"/>
  <c r="F447"/>
  <c r="D447"/>
  <c r="C447"/>
  <c r="T447"/>
  <c r="H446"/>
  <c r="I446" s="1"/>
  <c r="J446" s="1"/>
  <c r="K446" s="1"/>
  <c r="R447" l="1"/>
  <c r="B449"/>
  <c r="D448"/>
  <c r="G448"/>
  <c r="F448"/>
  <c r="E448"/>
  <c r="C448"/>
  <c r="R448" s="1"/>
  <c r="T448"/>
  <c r="H447"/>
  <c r="H448" l="1"/>
  <c r="I448" s="1"/>
  <c r="J448" s="1"/>
  <c r="K448" s="1"/>
  <c r="B450"/>
  <c r="C449"/>
  <c r="G449"/>
  <c r="F449"/>
  <c r="E449"/>
  <c r="D449"/>
  <c r="T449"/>
  <c r="I447"/>
  <c r="J447" s="1"/>
  <c r="K447" s="1"/>
  <c r="R449" l="1"/>
  <c r="B451"/>
  <c r="F450"/>
  <c r="C450"/>
  <c r="G450"/>
  <c r="E450"/>
  <c r="D450"/>
  <c r="T450"/>
  <c r="H449"/>
  <c r="B452" l="1"/>
  <c r="E451"/>
  <c r="C451"/>
  <c r="G451"/>
  <c r="F451"/>
  <c r="D451"/>
  <c r="T451"/>
  <c r="I449"/>
  <c r="J449" s="1"/>
  <c r="K449" s="1"/>
  <c r="H450"/>
  <c r="I450" s="1"/>
  <c r="J450" s="1"/>
  <c r="K450" s="1"/>
  <c r="R450"/>
  <c r="R451" l="1"/>
  <c r="H451"/>
  <c r="I451" s="1"/>
  <c r="J451" s="1"/>
  <c r="K451" s="1"/>
  <c r="B453"/>
  <c r="D452"/>
  <c r="C452"/>
  <c r="G452"/>
  <c r="F452"/>
  <c r="E452"/>
  <c r="T452"/>
  <c r="H452" l="1"/>
  <c r="R452"/>
  <c r="C453"/>
  <c r="B454"/>
  <c r="D453"/>
  <c r="G453"/>
  <c r="F453"/>
  <c r="E453"/>
  <c r="T453"/>
  <c r="J452" l="1"/>
  <c r="K452" s="1"/>
  <c r="I452"/>
  <c r="H453"/>
  <c r="I453" s="1"/>
  <c r="J453" s="1"/>
  <c r="K453" s="1"/>
  <c r="B455"/>
  <c r="C454"/>
  <c r="G454"/>
  <c r="F454"/>
  <c r="E454"/>
  <c r="D454"/>
  <c r="T454"/>
  <c r="R453"/>
  <c r="H454" l="1"/>
  <c r="I454" s="1"/>
  <c r="J454" s="1"/>
  <c r="K454" s="1"/>
  <c r="B456"/>
  <c r="F455"/>
  <c r="E455"/>
  <c r="D455"/>
  <c r="C455"/>
  <c r="G455"/>
  <c r="T455"/>
  <c r="R454"/>
  <c r="R455" l="1"/>
  <c r="B457"/>
  <c r="E456"/>
  <c r="D456"/>
  <c r="C456"/>
  <c r="G456"/>
  <c r="F456"/>
  <c r="T456"/>
  <c r="I455"/>
  <c r="H455"/>
  <c r="R456" l="1"/>
  <c r="H456"/>
  <c r="I456" s="1"/>
  <c r="J456" s="1"/>
  <c r="K456" s="1"/>
  <c r="B458"/>
  <c r="D457"/>
  <c r="C457"/>
  <c r="G457"/>
  <c r="F457"/>
  <c r="E457"/>
  <c r="T457"/>
  <c r="J455"/>
  <c r="K455" s="1"/>
  <c r="B459" l="1"/>
  <c r="C458"/>
  <c r="G458"/>
  <c r="F458"/>
  <c r="E458"/>
  <c r="D458"/>
  <c r="T458"/>
  <c r="H457"/>
  <c r="I457" s="1"/>
  <c r="J457" s="1"/>
  <c r="K457" s="1"/>
  <c r="R457"/>
  <c r="R458" l="1"/>
  <c r="B460"/>
  <c r="F459"/>
  <c r="E459"/>
  <c r="D459"/>
  <c r="G459"/>
  <c r="C459"/>
  <c r="T459"/>
  <c r="I458"/>
  <c r="J458" s="1"/>
  <c r="K458" s="1"/>
  <c r="H458"/>
  <c r="R459" l="1"/>
  <c r="I459"/>
  <c r="H459"/>
  <c r="B461"/>
  <c r="E460"/>
  <c r="D460"/>
  <c r="C460"/>
  <c r="G460"/>
  <c r="F460"/>
  <c r="T460"/>
  <c r="R460" l="1"/>
  <c r="J459"/>
  <c r="K459" s="1"/>
  <c r="B462"/>
  <c r="D461"/>
  <c r="C461"/>
  <c r="G461"/>
  <c r="F461"/>
  <c r="E461"/>
  <c r="T461"/>
  <c r="H460"/>
  <c r="I460" s="1"/>
  <c r="R461" l="1"/>
  <c r="B463"/>
  <c r="C462"/>
  <c r="G462"/>
  <c r="F462"/>
  <c r="E462"/>
  <c r="D462"/>
  <c r="T462"/>
  <c r="J460"/>
  <c r="K460" s="1"/>
  <c r="H461"/>
  <c r="I461" s="1"/>
  <c r="J461" s="1"/>
  <c r="K461" s="1"/>
  <c r="H462" l="1"/>
  <c r="I462" s="1"/>
  <c r="J462" s="1"/>
  <c r="K462" s="1"/>
  <c r="B464"/>
  <c r="F463"/>
  <c r="E463"/>
  <c r="D463"/>
  <c r="G463"/>
  <c r="C463"/>
  <c r="T463"/>
  <c r="R462"/>
  <c r="R463" l="1"/>
  <c r="B465"/>
  <c r="E464"/>
  <c r="D464"/>
  <c r="C464"/>
  <c r="G464"/>
  <c r="F464"/>
  <c r="T464"/>
  <c r="H463"/>
  <c r="I463" s="1"/>
  <c r="H464" l="1"/>
  <c r="I464" s="1"/>
  <c r="J464" s="1"/>
  <c r="K464" s="1"/>
  <c r="R464"/>
  <c r="B466"/>
  <c r="D465"/>
  <c r="C465"/>
  <c r="G465"/>
  <c r="F465"/>
  <c r="E465"/>
  <c r="T465"/>
  <c r="J463"/>
  <c r="K463" s="1"/>
  <c r="B467" l="1"/>
  <c r="C466"/>
  <c r="G466"/>
  <c r="F466"/>
  <c r="E466"/>
  <c r="D466"/>
  <c r="T466"/>
  <c r="H465"/>
  <c r="I465" s="1"/>
  <c r="J465" s="1"/>
  <c r="K465" s="1"/>
  <c r="R465"/>
  <c r="B468" l="1"/>
  <c r="F467"/>
  <c r="E467"/>
  <c r="D467"/>
  <c r="G467"/>
  <c r="C467"/>
  <c r="T467"/>
  <c r="H466"/>
  <c r="I466" s="1"/>
  <c r="J466" s="1"/>
  <c r="K466" s="1"/>
  <c r="R466"/>
  <c r="R467" l="1"/>
  <c r="B469"/>
  <c r="E468"/>
  <c r="D468"/>
  <c r="C468"/>
  <c r="G468"/>
  <c r="F468"/>
  <c r="T468"/>
  <c r="H467"/>
  <c r="I467" s="1"/>
  <c r="H468" l="1"/>
  <c r="I468" s="1"/>
  <c r="J468" s="1"/>
  <c r="K468" s="1"/>
  <c r="R468"/>
  <c r="B470"/>
  <c r="D469"/>
  <c r="C469"/>
  <c r="G469"/>
  <c r="F469"/>
  <c r="E469"/>
  <c r="T469"/>
  <c r="J467"/>
  <c r="K467" s="1"/>
  <c r="B471" l="1"/>
  <c r="C470"/>
  <c r="G470"/>
  <c r="F470"/>
  <c r="E470"/>
  <c r="D470"/>
  <c r="T470"/>
  <c r="H469"/>
  <c r="I469" s="1"/>
  <c r="J469" s="1"/>
  <c r="K469" s="1"/>
  <c r="R469"/>
  <c r="B472" l="1"/>
  <c r="F471"/>
  <c r="E471"/>
  <c r="D471"/>
  <c r="C471"/>
  <c r="G471"/>
  <c r="T471"/>
  <c r="H470"/>
  <c r="I470" s="1"/>
  <c r="J470" s="1"/>
  <c r="K470" s="1"/>
  <c r="R470"/>
  <c r="R471" l="1"/>
  <c r="B473"/>
  <c r="E472"/>
  <c r="D472"/>
  <c r="C472"/>
  <c r="G472"/>
  <c r="F472"/>
  <c r="T472"/>
  <c r="I471"/>
  <c r="H471"/>
  <c r="R472" l="1"/>
  <c r="B474"/>
  <c r="D473"/>
  <c r="C473"/>
  <c r="G473"/>
  <c r="F473"/>
  <c r="E473"/>
  <c r="T473"/>
  <c r="J471"/>
  <c r="K471" s="1"/>
  <c r="H472"/>
  <c r="I472" s="1"/>
  <c r="B475" l="1"/>
  <c r="C474"/>
  <c r="G474"/>
  <c r="F474"/>
  <c r="E474"/>
  <c r="D474"/>
  <c r="T474"/>
  <c r="J472"/>
  <c r="K472" s="1"/>
  <c r="H473"/>
  <c r="I473" s="1"/>
  <c r="J473" s="1"/>
  <c r="K473" s="1"/>
  <c r="R473"/>
  <c r="B476" l="1"/>
  <c r="F475"/>
  <c r="E475"/>
  <c r="D475"/>
  <c r="G475"/>
  <c r="C475"/>
  <c r="T475"/>
  <c r="H474"/>
  <c r="I474" s="1"/>
  <c r="J474" s="1"/>
  <c r="K474" s="1"/>
  <c r="R474"/>
  <c r="R475" l="1"/>
  <c r="B477"/>
  <c r="E476"/>
  <c r="D476"/>
  <c r="C476"/>
  <c r="G476"/>
  <c r="F476"/>
  <c r="T476"/>
  <c r="H475"/>
  <c r="I475" s="1"/>
  <c r="H476" l="1"/>
  <c r="I476" s="1"/>
  <c r="J476" s="1"/>
  <c r="K476" s="1"/>
  <c r="R476"/>
  <c r="B478"/>
  <c r="D477"/>
  <c r="C477"/>
  <c r="G477"/>
  <c r="F477"/>
  <c r="E477"/>
  <c r="T477"/>
  <c r="J475"/>
  <c r="K475" s="1"/>
  <c r="B479" l="1"/>
  <c r="C478"/>
  <c r="G478"/>
  <c r="F478"/>
  <c r="E478"/>
  <c r="D478"/>
  <c r="T478"/>
  <c r="H477"/>
  <c r="I477" s="1"/>
  <c r="J477" s="1"/>
  <c r="K477" s="1"/>
  <c r="R477"/>
  <c r="B480" l="1"/>
  <c r="F479"/>
  <c r="E479"/>
  <c r="D479"/>
  <c r="G479"/>
  <c r="C479"/>
  <c r="R479" s="1"/>
  <c r="T479"/>
  <c r="H478"/>
  <c r="I478" s="1"/>
  <c r="J478" s="1"/>
  <c r="K478" s="1"/>
  <c r="R478"/>
  <c r="B481" l="1"/>
  <c r="E480"/>
  <c r="D480"/>
  <c r="R480" s="1"/>
  <c r="C480"/>
  <c r="G480"/>
  <c r="F480"/>
  <c r="T480"/>
  <c r="H479"/>
  <c r="I479" s="1"/>
  <c r="H480" l="1"/>
  <c r="I480" s="1"/>
  <c r="J480" s="1"/>
  <c r="K480" s="1"/>
  <c r="B482"/>
  <c r="D481"/>
  <c r="C481"/>
  <c r="G481"/>
  <c r="F481"/>
  <c r="E481"/>
  <c r="T481"/>
  <c r="J479"/>
  <c r="K479" s="1"/>
  <c r="B483" l="1"/>
  <c r="C482"/>
  <c r="G482"/>
  <c r="F482"/>
  <c r="E482"/>
  <c r="D482"/>
  <c r="T482"/>
  <c r="H481"/>
  <c r="I481" s="1"/>
  <c r="J481" s="1"/>
  <c r="K481" s="1"/>
  <c r="R481"/>
  <c r="B484" l="1"/>
  <c r="F483"/>
  <c r="E483"/>
  <c r="D483"/>
  <c r="G483"/>
  <c r="C483"/>
  <c r="R483" s="1"/>
  <c r="T483"/>
  <c r="H482"/>
  <c r="I482" s="1"/>
  <c r="J482" s="1"/>
  <c r="K482" s="1"/>
  <c r="R482"/>
  <c r="B485" l="1"/>
  <c r="E484"/>
  <c r="D484"/>
  <c r="R484" s="1"/>
  <c r="C484"/>
  <c r="G484"/>
  <c r="F484"/>
  <c r="T484"/>
  <c r="H483"/>
  <c r="I483" s="1"/>
  <c r="H484" l="1"/>
  <c r="I484" s="1"/>
  <c r="J484" s="1"/>
  <c r="K484" s="1"/>
  <c r="B486"/>
  <c r="D485"/>
  <c r="C485"/>
  <c r="G485"/>
  <c r="F485"/>
  <c r="E485"/>
  <c r="T485"/>
  <c r="J483"/>
  <c r="K483" s="1"/>
  <c r="B487" l="1"/>
  <c r="C486"/>
  <c r="G486"/>
  <c r="F486"/>
  <c r="E486"/>
  <c r="D486"/>
  <c r="T486"/>
  <c r="H485"/>
  <c r="I485" s="1"/>
  <c r="J485" s="1"/>
  <c r="K485" s="1"/>
  <c r="R485"/>
  <c r="B488" l="1"/>
  <c r="F487"/>
  <c r="E487"/>
  <c r="D487"/>
  <c r="C487"/>
  <c r="G487"/>
  <c r="T487"/>
  <c r="H486"/>
  <c r="I486" s="1"/>
  <c r="J486" s="1"/>
  <c r="K486" s="1"/>
  <c r="R486"/>
  <c r="R487" l="1"/>
  <c r="B489"/>
  <c r="E488"/>
  <c r="D488"/>
  <c r="C488"/>
  <c r="G488"/>
  <c r="F488"/>
  <c r="T488"/>
  <c r="I487"/>
  <c r="H487"/>
  <c r="H488" l="1"/>
  <c r="I488" s="1"/>
  <c r="J488" s="1"/>
  <c r="K488" s="1"/>
  <c r="R488"/>
  <c r="B490"/>
  <c r="D489"/>
  <c r="C489"/>
  <c r="G489"/>
  <c r="F489"/>
  <c r="E489"/>
  <c r="T489"/>
  <c r="J487"/>
  <c r="K487" s="1"/>
  <c r="B491" l="1"/>
  <c r="C490"/>
  <c r="G490"/>
  <c r="F490"/>
  <c r="E490"/>
  <c r="D490"/>
  <c r="T490"/>
  <c r="H489"/>
  <c r="I489" s="1"/>
  <c r="R489"/>
  <c r="B492" l="1"/>
  <c r="F491"/>
  <c r="E491"/>
  <c r="D491"/>
  <c r="G491"/>
  <c r="C491"/>
  <c r="R491" s="1"/>
  <c r="T491"/>
  <c r="J489"/>
  <c r="K489" s="1"/>
  <c r="H490"/>
  <c r="I490" s="1"/>
  <c r="J490" s="1"/>
  <c r="K490" s="1"/>
  <c r="R490"/>
  <c r="B493" l="1"/>
  <c r="E492"/>
  <c r="D492"/>
  <c r="R492" s="1"/>
  <c r="C492"/>
  <c r="G492"/>
  <c r="F492"/>
  <c r="T492"/>
  <c r="H491"/>
  <c r="I491" s="1"/>
  <c r="H492" l="1"/>
  <c r="I492" s="1"/>
  <c r="J492" s="1"/>
  <c r="K492" s="1"/>
  <c r="B494"/>
  <c r="D493"/>
  <c r="C493"/>
  <c r="G493"/>
  <c r="F493"/>
  <c r="E493"/>
  <c r="T493"/>
  <c r="J491"/>
  <c r="K491" s="1"/>
  <c r="B495" l="1"/>
  <c r="C494"/>
  <c r="G494"/>
  <c r="F494"/>
  <c r="E494"/>
  <c r="D494"/>
  <c r="T494"/>
  <c r="H493"/>
  <c r="I493" s="1"/>
  <c r="R493"/>
  <c r="R494" l="1"/>
  <c r="H494"/>
  <c r="I494" s="1"/>
  <c r="J494" s="1"/>
  <c r="K494" s="1"/>
  <c r="B496"/>
  <c r="F495"/>
  <c r="E495"/>
  <c r="D495"/>
  <c r="G495"/>
  <c r="C495"/>
  <c r="T495"/>
  <c r="J493"/>
  <c r="K493" s="1"/>
  <c r="R495" l="1"/>
  <c r="B497"/>
  <c r="E496"/>
  <c r="D496"/>
  <c r="C496"/>
  <c r="G496"/>
  <c r="F496"/>
  <c r="T496"/>
  <c r="I495"/>
  <c r="H495"/>
  <c r="R496" l="1"/>
  <c r="H496"/>
  <c r="I496" s="1"/>
  <c r="J496" s="1"/>
  <c r="K496" s="1"/>
  <c r="B498"/>
  <c r="D497"/>
  <c r="C497"/>
  <c r="G497"/>
  <c r="F497"/>
  <c r="E497"/>
  <c r="T497"/>
  <c r="J495"/>
  <c r="K495" s="1"/>
  <c r="B499" l="1"/>
  <c r="C498"/>
  <c r="G498"/>
  <c r="F498"/>
  <c r="E498"/>
  <c r="D498"/>
  <c r="T498"/>
  <c r="H497"/>
  <c r="I497" s="1"/>
  <c r="J497" s="1"/>
  <c r="K497" s="1"/>
  <c r="R497"/>
  <c r="B500" l="1"/>
  <c r="F499"/>
  <c r="E499"/>
  <c r="D499"/>
  <c r="G499"/>
  <c r="C499"/>
  <c r="R499" s="1"/>
  <c r="T499"/>
  <c r="H498"/>
  <c r="I498" s="1"/>
  <c r="J498" s="1"/>
  <c r="K498" s="1"/>
  <c r="R498"/>
  <c r="B501" l="1"/>
  <c r="E500"/>
  <c r="D500"/>
  <c r="R500" s="1"/>
  <c r="C500"/>
  <c r="G500"/>
  <c r="F500"/>
  <c r="T500"/>
  <c r="H499"/>
  <c r="I499" s="1"/>
  <c r="H500" l="1"/>
  <c r="I500" s="1"/>
  <c r="J500" s="1"/>
  <c r="K500" s="1"/>
  <c r="B502"/>
  <c r="D501"/>
  <c r="C501"/>
  <c r="G501"/>
  <c r="F501"/>
  <c r="E501"/>
  <c r="T501"/>
  <c r="J499"/>
  <c r="K499" s="1"/>
  <c r="B503" l="1"/>
  <c r="C502"/>
  <c r="G502"/>
  <c r="F502"/>
  <c r="E502"/>
  <c r="D502"/>
  <c r="T502"/>
  <c r="H501"/>
  <c r="I501" s="1"/>
  <c r="J501" s="1"/>
  <c r="K501" s="1"/>
  <c r="R501"/>
  <c r="B504" l="1"/>
  <c r="F503"/>
  <c r="E503"/>
  <c r="D503"/>
  <c r="C503"/>
  <c r="G503"/>
  <c r="T503"/>
  <c r="H502"/>
  <c r="I502" s="1"/>
  <c r="J502" s="1"/>
  <c r="K502" s="1"/>
  <c r="R502"/>
  <c r="R503" l="1"/>
  <c r="B505"/>
  <c r="E504"/>
  <c r="D504"/>
  <c r="C504"/>
  <c r="G504"/>
  <c r="F504"/>
  <c r="T504"/>
  <c r="I503"/>
  <c r="H503"/>
  <c r="H504" l="1"/>
  <c r="I504" s="1"/>
  <c r="J504" s="1"/>
  <c r="K504" s="1"/>
  <c r="R504"/>
  <c r="B506"/>
  <c r="D505"/>
  <c r="C505"/>
  <c r="G505"/>
  <c r="F505"/>
  <c r="E505"/>
  <c r="T505"/>
  <c r="J503"/>
  <c r="K503" s="1"/>
  <c r="B507" l="1"/>
  <c r="C506"/>
  <c r="G506"/>
  <c r="F506"/>
  <c r="E506"/>
  <c r="D506"/>
  <c r="T506"/>
  <c r="H505"/>
  <c r="I505" s="1"/>
  <c r="J505" s="1"/>
  <c r="K505" s="1"/>
  <c r="R505"/>
  <c r="B508" l="1"/>
  <c r="F507"/>
  <c r="E507"/>
  <c r="D507"/>
  <c r="G507"/>
  <c r="C507"/>
  <c r="T507"/>
  <c r="H506"/>
  <c r="I506" s="1"/>
  <c r="J506" s="1"/>
  <c r="K506" s="1"/>
  <c r="R506"/>
  <c r="R507" l="1"/>
  <c r="B509"/>
  <c r="E508"/>
  <c r="D508"/>
  <c r="C508"/>
  <c r="G508"/>
  <c r="F508"/>
  <c r="T508"/>
  <c r="I507"/>
  <c r="H507"/>
  <c r="H508" l="1"/>
  <c r="I508" s="1"/>
  <c r="J508" s="1"/>
  <c r="K508" s="1"/>
  <c r="R508"/>
  <c r="B510"/>
  <c r="D509"/>
  <c r="C509"/>
  <c r="G509"/>
  <c r="F509"/>
  <c r="E509"/>
  <c r="T509"/>
  <c r="J507"/>
  <c r="K507" s="1"/>
  <c r="B511" l="1"/>
  <c r="C510"/>
  <c r="G510"/>
  <c r="F510"/>
  <c r="E510"/>
  <c r="D510"/>
  <c r="T510"/>
  <c r="H509"/>
  <c r="I509" s="1"/>
  <c r="J509" s="1"/>
  <c r="K509" s="1"/>
  <c r="R509"/>
  <c r="B512" l="1"/>
  <c r="F511"/>
  <c r="E511"/>
  <c r="D511"/>
  <c r="G511"/>
  <c r="C511"/>
  <c r="R511" s="1"/>
  <c r="T511"/>
  <c r="H510"/>
  <c r="I510" s="1"/>
  <c r="J510" s="1"/>
  <c r="K510" s="1"/>
  <c r="R510"/>
  <c r="B513" l="1"/>
  <c r="E512"/>
  <c r="D512"/>
  <c r="R512" s="1"/>
  <c r="C512"/>
  <c r="G512"/>
  <c r="F512"/>
  <c r="T512"/>
  <c r="H511"/>
  <c r="I511" s="1"/>
  <c r="H512" l="1"/>
  <c r="I512" s="1"/>
  <c r="J512" s="1"/>
  <c r="K512" s="1"/>
  <c r="B514"/>
  <c r="D513"/>
  <c r="C513"/>
  <c r="G513"/>
  <c r="F513"/>
  <c r="E513"/>
  <c r="T513"/>
  <c r="J511"/>
  <c r="K511" s="1"/>
  <c r="B515" l="1"/>
  <c r="C514"/>
  <c r="G514"/>
  <c r="F514"/>
  <c r="E514"/>
  <c r="D514"/>
  <c r="T514"/>
  <c r="H513"/>
  <c r="I513" s="1"/>
  <c r="J513" s="1"/>
  <c r="K513" s="1"/>
  <c r="R513"/>
  <c r="B516" l="1"/>
  <c r="F515"/>
  <c r="E515"/>
  <c r="D515"/>
  <c r="G515"/>
  <c r="C515"/>
  <c r="R515" s="1"/>
  <c r="T515"/>
  <c r="H514"/>
  <c r="I514" s="1"/>
  <c r="J514" s="1"/>
  <c r="K514" s="1"/>
  <c r="R514"/>
  <c r="B517" l="1"/>
  <c r="E516"/>
  <c r="D516"/>
  <c r="R516" s="1"/>
  <c r="C516"/>
  <c r="G516"/>
  <c r="F516"/>
  <c r="T516"/>
  <c r="H515"/>
  <c r="I515" s="1"/>
  <c r="H516" l="1"/>
  <c r="I516" s="1"/>
  <c r="J516" s="1"/>
  <c r="K516" s="1"/>
  <c r="D517"/>
  <c r="C517"/>
  <c r="G517"/>
  <c r="F517"/>
  <c r="B518"/>
  <c r="E517"/>
  <c r="T517"/>
  <c r="J515"/>
  <c r="K515" s="1"/>
  <c r="H517" l="1"/>
  <c r="B519"/>
  <c r="C518"/>
  <c r="G518"/>
  <c r="F518"/>
  <c r="E518"/>
  <c r="D518"/>
  <c r="T518"/>
  <c r="R517"/>
  <c r="R518" l="1"/>
  <c r="B520"/>
  <c r="F519"/>
  <c r="E519"/>
  <c r="D519"/>
  <c r="C519"/>
  <c r="G519"/>
  <c r="T519"/>
  <c r="I517"/>
  <c r="J517" s="1"/>
  <c r="K517" s="1"/>
  <c r="H518"/>
  <c r="I518" s="1"/>
  <c r="J518" s="1"/>
  <c r="K518" s="1"/>
  <c r="R519" l="1"/>
  <c r="B521"/>
  <c r="E520"/>
  <c r="D520"/>
  <c r="C520"/>
  <c r="G520"/>
  <c r="F520"/>
  <c r="T520"/>
  <c r="H519"/>
  <c r="I519" s="1"/>
  <c r="H520" l="1"/>
  <c r="I520" s="1"/>
  <c r="J520" s="1"/>
  <c r="K520" s="1"/>
  <c r="R520"/>
  <c r="B522"/>
  <c r="D521"/>
  <c r="C521"/>
  <c r="G521"/>
  <c r="F521"/>
  <c r="E521"/>
  <c r="T521"/>
  <c r="J519"/>
  <c r="K519" s="1"/>
  <c r="B523" l="1"/>
  <c r="C522"/>
  <c r="G522"/>
  <c r="F522"/>
  <c r="E522"/>
  <c r="D522"/>
  <c r="T522"/>
  <c r="H521"/>
  <c r="I521" s="1"/>
  <c r="J521" s="1"/>
  <c r="K521" s="1"/>
  <c r="R521"/>
  <c r="R522" l="1"/>
  <c r="B524"/>
  <c r="F523"/>
  <c r="E523"/>
  <c r="D523"/>
  <c r="G523"/>
  <c r="C523"/>
  <c r="T523"/>
  <c r="H522"/>
  <c r="I522" s="1"/>
  <c r="J522" s="1"/>
  <c r="K522" s="1"/>
  <c r="R523" l="1"/>
  <c r="I523"/>
  <c r="H523"/>
  <c r="B525"/>
  <c r="E524"/>
  <c r="D524"/>
  <c r="C524"/>
  <c r="G524"/>
  <c r="F524"/>
  <c r="T524"/>
  <c r="R524" l="1"/>
  <c r="J523"/>
  <c r="K523" s="1"/>
  <c r="B526"/>
  <c r="D525"/>
  <c r="C525"/>
  <c r="R525" s="1"/>
  <c r="G525"/>
  <c r="F525"/>
  <c r="E525"/>
  <c r="T525"/>
  <c r="H524"/>
  <c r="I524" s="1"/>
  <c r="B527" l="1"/>
  <c r="C526"/>
  <c r="G526"/>
  <c r="F526"/>
  <c r="E526"/>
  <c r="D526"/>
  <c r="T526"/>
  <c r="J524"/>
  <c r="K524" s="1"/>
  <c r="H525"/>
  <c r="I525" s="1"/>
  <c r="H526" l="1"/>
  <c r="I526" s="1"/>
  <c r="J526" s="1"/>
  <c r="K526" s="1"/>
  <c r="B528"/>
  <c r="F527"/>
  <c r="E527"/>
  <c r="D527"/>
  <c r="G527"/>
  <c r="C527"/>
  <c r="T527"/>
  <c r="J525"/>
  <c r="K525" s="1"/>
  <c r="R526"/>
  <c r="R527" l="1"/>
  <c r="B529"/>
  <c r="E528"/>
  <c r="D528"/>
  <c r="C528"/>
  <c r="G528"/>
  <c r="F528"/>
  <c r="T528"/>
  <c r="I527"/>
  <c r="H527"/>
  <c r="H528" l="1"/>
  <c r="I528" s="1"/>
  <c r="J528" s="1"/>
  <c r="K528" s="1"/>
  <c r="R528"/>
  <c r="B530"/>
  <c r="D529"/>
  <c r="C529"/>
  <c r="G529"/>
  <c r="F529"/>
  <c r="E529"/>
  <c r="T529"/>
  <c r="J527"/>
  <c r="K527" s="1"/>
  <c r="B531" l="1"/>
  <c r="C530"/>
  <c r="G530"/>
  <c r="F530"/>
  <c r="E530"/>
  <c r="D530"/>
  <c r="T530"/>
  <c r="H529"/>
  <c r="I529" s="1"/>
  <c r="J529" s="1"/>
  <c r="K529" s="1"/>
  <c r="R529"/>
  <c r="B532" l="1"/>
  <c r="F531"/>
  <c r="E531"/>
  <c r="D531"/>
  <c r="G531"/>
  <c r="C531"/>
  <c r="T531"/>
  <c r="H530"/>
  <c r="I530" s="1"/>
  <c r="J530" s="1"/>
  <c r="K530" s="1"/>
  <c r="R530"/>
  <c r="R531" l="1"/>
  <c r="B533"/>
  <c r="E532"/>
  <c r="D532"/>
  <c r="C532"/>
  <c r="G532"/>
  <c r="F532"/>
  <c r="T532"/>
  <c r="H531"/>
  <c r="I531" s="1"/>
  <c r="H532" l="1"/>
  <c r="I532" s="1"/>
  <c r="J532" s="1"/>
  <c r="K532" s="1"/>
  <c r="R532"/>
  <c r="B534"/>
  <c r="D533"/>
  <c r="C533"/>
  <c r="G533"/>
  <c r="F533"/>
  <c r="E533"/>
  <c r="T533"/>
  <c r="J531"/>
  <c r="K531" s="1"/>
  <c r="B535" l="1"/>
  <c r="C534"/>
  <c r="G534"/>
  <c r="F534"/>
  <c r="E534"/>
  <c r="D534"/>
  <c r="T534"/>
  <c r="H533"/>
  <c r="I533" s="1"/>
  <c r="J533" s="1"/>
  <c r="K533" s="1"/>
  <c r="R533"/>
  <c r="R534" l="1"/>
  <c r="B536"/>
  <c r="F535"/>
  <c r="E535"/>
  <c r="D535"/>
  <c r="C535"/>
  <c r="G535"/>
  <c r="T535"/>
  <c r="H534"/>
  <c r="I534" s="1"/>
  <c r="J534" s="1"/>
  <c r="K534" s="1"/>
  <c r="R535" l="1"/>
  <c r="I535"/>
  <c r="H535"/>
  <c r="B537"/>
  <c r="E536"/>
  <c r="D536"/>
  <c r="C536"/>
  <c r="G536"/>
  <c r="F536"/>
  <c r="T536"/>
  <c r="R536" l="1"/>
  <c r="J535"/>
  <c r="K535" s="1"/>
  <c r="B538"/>
  <c r="D537"/>
  <c r="C537"/>
  <c r="R537" s="1"/>
  <c r="G537"/>
  <c r="F537"/>
  <c r="E537"/>
  <c r="T537"/>
  <c r="I536"/>
  <c r="H536"/>
  <c r="B539" l="1"/>
  <c r="C538"/>
  <c r="G538"/>
  <c r="F538"/>
  <c r="E538"/>
  <c r="D538"/>
  <c r="T538"/>
  <c r="J536"/>
  <c r="K536" s="1"/>
  <c r="H537"/>
  <c r="I537" s="1"/>
  <c r="J537" s="1"/>
  <c r="K537" s="1"/>
  <c r="H538" l="1"/>
  <c r="I538" s="1"/>
  <c r="J538" s="1"/>
  <c r="K538" s="1"/>
  <c r="B540"/>
  <c r="F539"/>
  <c r="E539"/>
  <c r="D539"/>
  <c r="G539"/>
  <c r="C539"/>
  <c r="T539"/>
  <c r="R538"/>
  <c r="R539" l="1"/>
  <c r="B541"/>
  <c r="E540"/>
  <c r="D540"/>
  <c r="C540"/>
  <c r="G540"/>
  <c r="F540"/>
  <c r="T540"/>
  <c r="I539"/>
  <c r="H539"/>
  <c r="H540" l="1"/>
  <c r="I540" s="1"/>
  <c r="J540" s="1"/>
  <c r="K540" s="1"/>
  <c r="R540"/>
  <c r="B542"/>
  <c r="D541"/>
  <c r="C541"/>
  <c r="G541"/>
  <c r="F541"/>
  <c r="E541"/>
  <c r="T541"/>
  <c r="J539"/>
  <c r="K539" s="1"/>
  <c r="B543" l="1"/>
  <c r="C542"/>
  <c r="G542"/>
  <c r="F542"/>
  <c r="E542"/>
  <c r="D542"/>
  <c r="T542"/>
  <c r="H541"/>
  <c r="I541" s="1"/>
  <c r="J541" s="1"/>
  <c r="K541" s="1"/>
  <c r="R541"/>
  <c r="B544" l="1"/>
  <c r="F543"/>
  <c r="E543"/>
  <c r="D543"/>
  <c r="G543"/>
  <c r="C543"/>
  <c r="T543"/>
  <c r="H542"/>
  <c r="I542" s="1"/>
  <c r="J542" s="1"/>
  <c r="K542" s="1"/>
  <c r="R542"/>
  <c r="R543" l="1"/>
  <c r="B545"/>
  <c r="E544"/>
  <c r="D544"/>
  <c r="C544"/>
  <c r="G544"/>
  <c r="F544"/>
  <c r="T544"/>
  <c r="H543"/>
  <c r="I543" s="1"/>
  <c r="H544" l="1"/>
  <c r="I544" s="1"/>
  <c r="J544" s="1"/>
  <c r="K544" s="1"/>
  <c r="R544"/>
  <c r="B546"/>
  <c r="D545"/>
  <c r="C545"/>
  <c r="G545"/>
  <c r="F545"/>
  <c r="E545"/>
  <c r="T545"/>
  <c r="J543"/>
  <c r="K543" s="1"/>
  <c r="H545" l="1"/>
  <c r="I545" s="1"/>
  <c r="J545" s="1"/>
  <c r="K545" s="1"/>
  <c r="R545"/>
  <c r="B547"/>
  <c r="C546"/>
  <c r="G546"/>
  <c r="F546"/>
  <c r="E546"/>
  <c r="D546"/>
  <c r="T546"/>
  <c r="B548" l="1"/>
  <c r="F547"/>
  <c r="E547"/>
  <c r="D547"/>
  <c r="G547"/>
  <c r="C547"/>
  <c r="R547" s="1"/>
  <c r="T547"/>
  <c r="H546"/>
  <c r="I546" s="1"/>
  <c r="J546" s="1"/>
  <c r="K546" s="1"/>
  <c r="R546"/>
  <c r="B549" l="1"/>
  <c r="E548"/>
  <c r="D548"/>
  <c r="R548" s="1"/>
  <c r="C548"/>
  <c r="G548"/>
  <c r="F548"/>
  <c r="T548"/>
  <c r="H547"/>
  <c r="I547" s="1"/>
  <c r="H548" l="1"/>
  <c r="I548" s="1"/>
  <c r="J548" s="1"/>
  <c r="K548" s="1"/>
  <c r="J547"/>
  <c r="K547" s="1"/>
  <c r="B550"/>
  <c r="D549"/>
  <c r="C549"/>
  <c r="G549"/>
  <c r="F549"/>
  <c r="E549"/>
  <c r="T549"/>
  <c r="H549" l="1"/>
  <c r="I549" s="1"/>
  <c r="J549" s="1"/>
  <c r="K549" s="1"/>
  <c r="R549"/>
  <c r="B551"/>
  <c r="C550"/>
  <c r="G550"/>
  <c r="F550"/>
  <c r="E550"/>
  <c r="D550"/>
  <c r="T550"/>
  <c r="R550" l="1"/>
  <c r="B552"/>
  <c r="F551"/>
  <c r="E551"/>
  <c r="D551"/>
  <c r="C551"/>
  <c r="G551"/>
  <c r="T551"/>
  <c r="H550"/>
  <c r="I550" s="1"/>
  <c r="J550" s="1"/>
  <c r="K550" s="1"/>
  <c r="R551" l="1"/>
  <c r="I551"/>
  <c r="H551"/>
  <c r="B553"/>
  <c r="E552"/>
  <c r="D552"/>
  <c r="C552"/>
  <c r="G552"/>
  <c r="F552"/>
  <c r="T552"/>
  <c r="R552" l="1"/>
  <c r="B554"/>
  <c r="D553"/>
  <c r="C553"/>
  <c r="G553"/>
  <c r="F553"/>
  <c r="E553"/>
  <c r="T553"/>
  <c r="J551"/>
  <c r="K551" s="1"/>
  <c r="H552"/>
  <c r="I552" s="1"/>
  <c r="B555" l="1"/>
  <c r="C554"/>
  <c r="G554"/>
  <c r="F554"/>
  <c r="E554"/>
  <c r="D554"/>
  <c r="T554"/>
  <c r="J552"/>
  <c r="K552" s="1"/>
  <c r="H553"/>
  <c r="R553"/>
  <c r="B556" l="1"/>
  <c r="F555"/>
  <c r="E555"/>
  <c r="D555"/>
  <c r="G555"/>
  <c r="C555"/>
  <c r="R555" s="1"/>
  <c r="T555"/>
  <c r="I553"/>
  <c r="J553" s="1"/>
  <c r="K553" s="1"/>
  <c r="H554"/>
  <c r="I554" s="1"/>
  <c r="J554" s="1"/>
  <c r="K554" s="1"/>
  <c r="R554"/>
  <c r="I555" l="1"/>
  <c r="H555"/>
  <c r="B557"/>
  <c r="E556"/>
  <c r="D556"/>
  <c r="R556" s="1"/>
  <c r="C556"/>
  <c r="G556"/>
  <c r="F556"/>
  <c r="T556"/>
  <c r="H556" l="1"/>
  <c r="J555"/>
  <c r="K555" s="1"/>
  <c r="B558"/>
  <c r="D557"/>
  <c r="C557"/>
  <c r="R557" s="1"/>
  <c r="G557"/>
  <c r="F557"/>
  <c r="E557"/>
  <c r="T557"/>
  <c r="J556" l="1"/>
  <c r="K556" s="1"/>
  <c r="I556"/>
  <c r="B559"/>
  <c r="C558"/>
  <c r="G558"/>
  <c r="F558"/>
  <c r="E558"/>
  <c r="D558"/>
  <c r="T558"/>
  <c r="H557"/>
  <c r="I557" s="1"/>
  <c r="J557" s="1"/>
  <c r="K557" s="1"/>
  <c r="H558" l="1"/>
  <c r="I558" s="1"/>
  <c r="J558" s="1"/>
  <c r="K558" s="1"/>
  <c r="B560"/>
  <c r="F559"/>
  <c r="E559"/>
  <c r="D559"/>
  <c r="G559"/>
  <c r="C559"/>
  <c r="T559"/>
  <c r="R558"/>
  <c r="R559" l="1"/>
  <c r="B561"/>
  <c r="E560"/>
  <c r="D560"/>
  <c r="C560"/>
  <c r="G560"/>
  <c r="F560"/>
  <c r="T560"/>
  <c r="I559"/>
  <c r="H559"/>
  <c r="H560" l="1"/>
  <c r="I560" s="1"/>
  <c r="J560" s="1"/>
  <c r="K560" s="1"/>
  <c r="R560"/>
  <c r="B562"/>
  <c r="D561"/>
  <c r="C561"/>
  <c r="G561"/>
  <c r="F561"/>
  <c r="E561"/>
  <c r="T561"/>
  <c r="J559"/>
  <c r="K559" s="1"/>
  <c r="H561" l="1"/>
  <c r="B563"/>
  <c r="C562"/>
  <c r="G562"/>
  <c r="F562"/>
  <c r="E562"/>
  <c r="D562"/>
  <c r="T562"/>
  <c r="I561"/>
  <c r="J561" s="1"/>
  <c r="K561" s="1"/>
  <c r="R561"/>
  <c r="B564" l="1"/>
  <c r="F563"/>
  <c r="E563"/>
  <c r="D563"/>
  <c r="G563"/>
  <c r="C563"/>
  <c r="T563"/>
  <c r="H562"/>
  <c r="I562" s="1"/>
  <c r="J562" s="1"/>
  <c r="K562" s="1"/>
  <c r="R562"/>
  <c r="R563" l="1"/>
  <c r="I563"/>
  <c r="H563"/>
  <c r="B565"/>
  <c r="E564"/>
  <c r="D564"/>
  <c r="C564"/>
  <c r="G564"/>
  <c r="F564"/>
  <c r="T564"/>
  <c r="R564" l="1"/>
  <c r="J563"/>
  <c r="K563" s="1"/>
  <c r="B566"/>
  <c r="D565"/>
  <c r="C565"/>
  <c r="G565"/>
  <c r="F565"/>
  <c r="E565"/>
  <c r="T565"/>
  <c r="H564"/>
  <c r="I564" s="1"/>
  <c r="R565" l="1"/>
  <c r="B567"/>
  <c r="C566"/>
  <c r="G566"/>
  <c r="F566"/>
  <c r="E566"/>
  <c r="D566"/>
  <c r="T566"/>
  <c r="J564"/>
  <c r="K564" s="1"/>
  <c r="H565"/>
  <c r="I565" s="1"/>
  <c r="J565" s="1"/>
  <c r="K565" s="1"/>
  <c r="H566" l="1"/>
  <c r="I566" s="1"/>
  <c r="J566" s="1"/>
  <c r="K566" s="1"/>
  <c r="B568"/>
  <c r="F567"/>
  <c r="E567"/>
  <c r="D567"/>
  <c r="C567"/>
  <c r="G567"/>
  <c r="T567"/>
  <c r="R566"/>
  <c r="R567" l="1"/>
  <c r="B569"/>
  <c r="E568"/>
  <c r="D568"/>
  <c r="C568"/>
  <c r="G568"/>
  <c r="F568"/>
  <c r="T568"/>
  <c r="H567"/>
  <c r="I567" s="1"/>
  <c r="H568" l="1"/>
  <c r="I568" s="1"/>
  <c r="J568" s="1"/>
  <c r="K568" s="1"/>
  <c r="R568"/>
  <c r="B570"/>
  <c r="D569"/>
  <c r="C569"/>
  <c r="R569" s="1"/>
  <c r="G569"/>
  <c r="F569"/>
  <c r="E569"/>
  <c r="T569"/>
  <c r="J567"/>
  <c r="K567" s="1"/>
  <c r="B571" l="1"/>
  <c r="C570"/>
  <c r="G570"/>
  <c r="F570"/>
  <c r="E570"/>
  <c r="D570"/>
  <c r="T570"/>
  <c r="H569"/>
  <c r="I569" s="1"/>
  <c r="J569" s="1"/>
  <c r="K569" s="1"/>
  <c r="B572" l="1"/>
  <c r="F571"/>
  <c r="E571"/>
  <c r="D571"/>
  <c r="G571"/>
  <c r="C571"/>
  <c r="R571" s="1"/>
  <c r="T571"/>
  <c r="H570"/>
  <c r="I570" s="1"/>
  <c r="J570" s="1"/>
  <c r="K570" s="1"/>
  <c r="R570"/>
  <c r="I571" l="1"/>
  <c r="H571"/>
  <c r="B573"/>
  <c r="E572"/>
  <c r="D572"/>
  <c r="C572"/>
  <c r="G572"/>
  <c r="F572"/>
  <c r="T572"/>
  <c r="R572" l="1"/>
  <c r="J571"/>
  <c r="K571" s="1"/>
  <c r="B574"/>
  <c r="D573"/>
  <c r="C573"/>
  <c r="G573"/>
  <c r="F573"/>
  <c r="E573"/>
  <c r="T573"/>
  <c r="I572"/>
  <c r="H572"/>
  <c r="R573" l="1"/>
  <c r="B575"/>
  <c r="C574"/>
  <c r="G574"/>
  <c r="F574"/>
  <c r="E574"/>
  <c r="D574"/>
  <c r="T574"/>
  <c r="J572"/>
  <c r="K572" s="1"/>
  <c r="H573"/>
  <c r="I573" s="1"/>
  <c r="J573" s="1"/>
  <c r="K573" s="1"/>
  <c r="H574" l="1"/>
  <c r="I574" s="1"/>
  <c r="J574" s="1"/>
  <c r="K574" s="1"/>
  <c r="B576"/>
  <c r="F575"/>
  <c r="E575"/>
  <c r="D575"/>
  <c r="G575"/>
  <c r="C575"/>
  <c r="T575"/>
  <c r="R574"/>
  <c r="R575" l="1"/>
  <c r="B577"/>
  <c r="E576"/>
  <c r="D576"/>
  <c r="C576"/>
  <c r="G576"/>
  <c r="F576"/>
  <c r="T576"/>
  <c r="I575"/>
  <c r="H575"/>
  <c r="H576" l="1"/>
  <c r="I576" s="1"/>
  <c r="J576" s="1"/>
  <c r="K576" s="1"/>
  <c r="R576"/>
  <c r="B578"/>
  <c r="D577"/>
  <c r="C577"/>
  <c r="G577"/>
  <c r="F577"/>
  <c r="E577"/>
  <c r="T577"/>
  <c r="J575"/>
  <c r="K575" s="1"/>
  <c r="B579" l="1"/>
  <c r="C578"/>
  <c r="G578"/>
  <c r="F578"/>
  <c r="E578"/>
  <c r="D578"/>
  <c r="T578"/>
  <c r="H577"/>
  <c r="I577" s="1"/>
  <c r="J577" s="1"/>
  <c r="K577" s="1"/>
  <c r="R577"/>
  <c r="B580" l="1"/>
  <c r="F579"/>
  <c r="E579"/>
  <c r="D579"/>
  <c r="G579"/>
  <c r="C579"/>
  <c r="T579"/>
  <c r="H578"/>
  <c r="I578" s="1"/>
  <c r="J578" s="1"/>
  <c r="K578" s="1"/>
  <c r="R578"/>
  <c r="R579" l="1"/>
  <c r="B581"/>
  <c r="E580"/>
  <c r="D580"/>
  <c r="C580"/>
  <c r="G580"/>
  <c r="F580"/>
  <c r="T580"/>
  <c r="H579"/>
  <c r="I579" s="1"/>
  <c r="H580" l="1"/>
  <c r="I580" s="1"/>
  <c r="J580" s="1"/>
  <c r="K580" s="1"/>
  <c r="R580"/>
  <c r="D581"/>
  <c r="C581"/>
  <c r="G581"/>
  <c r="B582"/>
  <c r="F581"/>
  <c r="E581"/>
  <c r="T581"/>
  <c r="J579"/>
  <c r="K579" s="1"/>
  <c r="I581" l="1"/>
  <c r="H581"/>
  <c r="B583"/>
  <c r="C582"/>
  <c r="G582"/>
  <c r="F582"/>
  <c r="E582"/>
  <c r="D582"/>
  <c r="T582"/>
  <c r="R581"/>
  <c r="R582" l="1"/>
  <c r="J581"/>
  <c r="K581" s="1"/>
  <c r="B584"/>
  <c r="F583"/>
  <c r="E583"/>
  <c r="D583"/>
  <c r="C583"/>
  <c r="G583"/>
  <c r="T583"/>
  <c r="H582"/>
  <c r="I582" s="1"/>
  <c r="J582" s="1"/>
  <c r="K582" s="1"/>
  <c r="R583" l="1"/>
  <c r="H583"/>
  <c r="I583" s="1"/>
  <c r="B585"/>
  <c r="E584"/>
  <c r="D584"/>
  <c r="C584"/>
  <c r="G584"/>
  <c r="F584"/>
  <c r="T584"/>
  <c r="R584" l="1"/>
  <c r="B586"/>
  <c r="D585"/>
  <c r="C585"/>
  <c r="G585"/>
  <c r="F585"/>
  <c r="E585"/>
  <c r="T585"/>
  <c r="J583"/>
  <c r="K583" s="1"/>
  <c r="I584"/>
  <c r="H584"/>
  <c r="B587" l="1"/>
  <c r="C586"/>
  <c r="G586"/>
  <c r="F586"/>
  <c r="E586"/>
  <c r="D586"/>
  <c r="T586"/>
  <c r="J584"/>
  <c r="K584" s="1"/>
  <c r="H585"/>
  <c r="I585" s="1"/>
  <c r="J585" s="1"/>
  <c r="K585" s="1"/>
  <c r="R585"/>
  <c r="B588" l="1"/>
  <c r="F587"/>
  <c r="E587"/>
  <c r="D587"/>
  <c r="G587"/>
  <c r="C587"/>
  <c r="T587"/>
  <c r="H586"/>
  <c r="I586" s="1"/>
  <c r="J586" s="1"/>
  <c r="K586" s="1"/>
  <c r="R586"/>
  <c r="R587" l="1"/>
  <c r="I587"/>
  <c r="H587"/>
  <c r="B589"/>
  <c r="E588"/>
  <c r="D588"/>
  <c r="C588"/>
  <c r="G588"/>
  <c r="F588"/>
  <c r="T588"/>
  <c r="R588" l="1"/>
  <c r="J587"/>
  <c r="K587" s="1"/>
  <c r="B590"/>
  <c r="D589"/>
  <c r="C589"/>
  <c r="G589"/>
  <c r="F589"/>
  <c r="E589"/>
  <c r="T589"/>
  <c r="H588"/>
  <c r="I588" s="1"/>
  <c r="R589" l="1"/>
  <c r="B591"/>
  <c r="C590"/>
  <c r="G590"/>
  <c r="F590"/>
  <c r="E590"/>
  <c r="D590"/>
  <c r="T590"/>
  <c r="J588"/>
  <c r="K588" s="1"/>
  <c r="H589"/>
  <c r="I589" s="1"/>
  <c r="J589" s="1"/>
  <c r="K589" s="1"/>
  <c r="H590" l="1"/>
  <c r="I590" s="1"/>
  <c r="J590" s="1"/>
  <c r="K590" s="1"/>
  <c r="B592"/>
  <c r="F591"/>
  <c r="E591"/>
  <c r="D591"/>
  <c r="G591"/>
  <c r="C591"/>
  <c r="T591"/>
  <c r="R590"/>
  <c r="R591" l="1"/>
  <c r="B593"/>
  <c r="E592"/>
  <c r="D592"/>
  <c r="C592"/>
  <c r="G592"/>
  <c r="F592"/>
  <c r="T592"/>
  <c r="I591"/>
  <c r="H591"/>
  <c r="R592" l="1"/>
  <c r="B594"/>
  <c r="D593"/>
  <c r="C593"/>
  <c r="G593"/>
  <c r="F593"/>
  <c r="E593"/>
  <c r="T593"/>
  <c r="J591"/>
  <c r="K591" s="1"/>
  <c r="I592"/>
  <c r="H592"/>
  <c r="B595" l="1"/>
  <c r="C594"/>
  <c r="G594"/>
  <c r="F594"/>
  <c r="E594"/>
  <c r="D594"/>
  <c r="T594"/>
  <c r="J592"/>
  <c r="K592" s="1"/>
  <c r="H593"/>
  <c r="I593" s="1"/>
  <c r="J593" s="1"/>
  <c r="K593" s="1"/>
  <c r="R593"/>
  <c r="B596" l="1"/>
  <c r="F595"/>
  <c r="E595"/>
  <c r="D595"/>
  <c r="G595"/>
  <c r="C595"/>
  <c r="T595"/>
  <c r="H594"/>
  <c r="I594" s="1"/>
  <c r="J594" s="1"/>
  <c r="K594" s="1"/>
  <c r="R594"/>
  <c r="R595" l="1"/>
  <c r="B597"/>
  <c r="E596"/>
  <c r="D596"/>
  <c r="C596"/>
  <c r="G596"/>
  <c r="F596"/>
  <c r="T596"/>
  <c r="H595"/>
  <c r="I595" s="1"/>
  <c r="H596" l="1"/>
  <c r="I596" s="1"/>
  <c r="J596" s="1"/>
  <c r="K596" s="1"/>
  <c r="R596"/>
  <c r="B598"/>
  <c r="D597"/>
  <c r="C597"/>
  <c r="G597"/>
  <c r="F597"/>
  <c r="E597"/>
  <c r="T597"/>
  <c r="J595"/>
  <c r="K595" s="1"/>
  <c r="B599" l="1"/>
  <c r="C598"/>
  <c r="G598"/>
  <c r="F598"/>
  <c r="E598"/>
  <c r="D598"/>
  <c r="T598"/>
  <c r="H597"/>
  <c r="I597" s="1"/>
  <c r="R597"/>
  <c r="B600" l="1"/>
  <c r="F599"/>
  <c r="E599"/>
  <c r="D599"/>
  <c r="C599"/>
  <c r="G599"/>
  <c r="T599"/>
  <c r="J597"/>
  <c r="K597" s="1"/>
  <c r="H598"/>
  <c r="I598" s="1"/>
  <c r="J598" s="1"/>
  <c r="K598" s="1"/>
  <c r="R598"/>
  <c r="R599" l="1"/>
  <c r="B601"/>
  <c r="E600"/>
  <c r="D600"/>
  <c r="C600"/>
  <c r="G600"/>
  <c r="F600"/>
  <c r="T600"/>
  <c r="H599"/>
  <c r="I599" s="1"/>
  <c r="H600" l="1"/>
  <c r="I600" s="1"/>
  <c r="J600" s="1"/>
  <c r="K600" s="1"/>
  <c r="R600"/>
  <c r="B602"/>
  <c r="D601"/>
  <c r="C601"/>
  <c r="G601"/>
  <c r="F601"/>
  <c r="E601"/>
  <c r="T601"/>
  <c r="J599"/>
  <c r="K599" s="1"/>
  <c r="B603" l="1"/>
  <c r="C602"/>
  <c r="G602"/>
  <c r="F602"/>
  <c r="E602"/>
  <c r="D602"/>
  <c r="T602"/>
  <c r="H601"/>
  <c r="I601" s="1"/>
  <c r="J601" s="1"/>
  <c r="K601" s="1"/>
  <c r="R601"/>
  <c r="B604" l="1"/>
  <c r="F603"/>
  <c r="E603"/>
  <c r="D603"/>
  <c r="G603"/>
  <c r="C603"/>
  <c r="T603"/>
  <c r="H602"/>
  <c r="I602" s="1"/>
  <c r="J602" s="1"/>
  <c r="K602" s="1"/>
  <c r="R602"/>
  <c r="R603" l="1"/>
  <c r="B605"/>
  <c r="E604"/>
  <c r="D604"/>
  <c r="C604"/>
  <c r="G604"/>
  <c r="F604"/>
  <c r="T604"/>
  <c r="H603"/>
  <c r="I603" s="1"/>
  <c r="R604" l="1"/>
  <c r="B606"/>
  <c r="D605"/>
  <c r="C605"/>
  <c r="G605"/>
  <c r="F605"/>
  <c r="E605"/>
  <c r="T605"/>
  <c r="J603"/>
  <c r="K603" s="1"/>
  <c r="H604"/>
  <c r="I604" s="1"/>
  <c r="B607" l="1"/>
  <c r="C606"/>
  <c r="G606"/>
  <c r="F606"/>
  <c r="E606"/>
  <c r="D606"/>
  <c r="T606"/>
  <c r="J604"/>
  <c r="K604" s="1"/>
  <c r="H605"/>
  <c r="I605" s="1"/>
  <c r="J605" s="1"/>
  <c r="K605" s="1"/>
  <c r="R605"/>
  <c r="B608" l="1"/>
  <c r="F607"/>
  <c r="E607"/>
  <c r="D607"/>
  <c r="G607"/>
  <c r="C607"/>
  <c r="T607"/>
  <c r="H606"/>
  <c r="I606" s="1"/>
  <c r="J606" s="1"/>
  <c r="K606" s="1"/>
  <c r="R606"/>
  <c r="R607" l="1"/>
  <c r="B609"/>
  <c r="E608"/>
  <c r="D608"/>
  <c r="C608"/>
  <c r="G608"/>
  <c r="F608"/>
  <c r="T608"/>
  <c r="H607"/>
  <c r="I607" s="1"/>
  <c r="H608" l="1"/>
  <c r="I608" s="1"/>
  <c r="J608" s="1"/>
  <c r="K608" s="1"/>
  <c r="R608"/>
  <c r="J607"/>
  <c r="K607" s="1"/>
  <c r="B610"/>
  <c r="D609"/>
  <c r="C609"/>
  <c r="G609"/>
  <c r="F609"/>
  <c r="E609"/>
  <c r="T609"/>
  <c r="H609" l="1"/>
  <c r="B611"/>
  <c r="C610"/>
  <c r="G610"/>
  <c r="F610"/>
  <c r="E610"/>
  <c r="D610"/>
  <c r="T610"/>
  <c r="I609"/>
  <c r="J609" s="1"/>
  <c r="K609" s="1"/>
  <c r="R609"/>
  <c r="B612" l="1"/>
  <c r="F611"/>
  <c r="E611"/>
  <c r="D611"/>
  <c r="G611"/>
  <c r="C611"/>
  <c r="T611"/>
  <c r="H610"/>
  <c r="I610" s="1"/>
  <c r="J610" s="1"/>
  <c r="K610" s="1"/>
  <c r="R610"/>
  <c r="R611" l="1"/>
  <c r="B613"/>
  <c r="E612"/>
  <c r="D612"/>
  <c r="C612"/>
  <c r="G612"/>
  <c r="F612"/>
  <c r="T612"/>
  <c r="R612"/>
  <c r="I611"/>
  <c r="H611"/>
  <c r="H612" l="1"/>
  <c r="I612" s="1"/>
  <c r="J612" s="1"/>
  <c r="K612" s="1"/>
  <c r="B614"/>
  <c r="D613"/>
  <c r="C613"/>
  <c r="G613"/>
  <c r="F613"/>
  <c r="E613"/>
  <c r="T613"/>
  <c r="J611"/>
  <c r="K611" s="1"/>
  <c r="H613" l="1"/>
  <c r="I613" s="1"/>
  <c r="J613" s="1"/>
  <c r="K613" s="1"/>
  <c r="R613"/>
  <c r="B615"/>
  <c r="C614"/>
  <c r="G614"/>
  <c r="F614"/>
  <c r="E614"/>
  <c r="D614"/>
  <c r="T614"/>
  <c r="B616" l="1"/>
  <c r="F615"/>
  <c r="E615"/>
  <c r="D615"/>
  <c r="C615"/>
  <c r="R615" s="1"/>
  <c r="G615"/>
  <c r="T615"/>
  <c r="H614"/>
  <c r="I614" s="1"/>
  <c r="J614" s="1"/>
  <c r="K614" s="1"/>
  <c r="R614"/>
  <c r="B617" l="1"/>
  <c r="E616"/>
  <c r="H616" s="1"/>
  <c r="D616"/>
  <c r="R616" s="1"/>
  <c r="C616"/>
  <c r="G616"/>
  <c r="F616"/>
  <c r="T616"/>
  <c r="H615"/>
  <c r="I615" s="1"/>
  <c r="B618" l="1"/>
  <c r="D617"/>
  <c r="C617"/>
  <c r="G617"/>
  <c r="F617"/>
  <c r="E617"/>
  <c r="T617"/>
  <c r="J615"/>
  <c r="K615" s="1"/>
  <c r="I616"/>
  <c r="J616" s="1"/>
  <c r="K616" s="1"/>
  <c r="B619" l="1"/>
  <c r="C618"/>
  <c r="G618"/>
  <c r="F618"/>
  <c r="E618"/>
  <c r="D618"/>
  <c r="T618"/>
  <c r="H617"/>
  <c r="I617" s="1"/>
  <c r="R617"/>
  <c r="B620" l="1"/>
  <c r="F619"/>
  <c r="E619"/>
  <c r="D619"/>
  <c r="G619"/>
  <c r="C619"/>
  <c r="R619" s="1"/>
  <c r="T619"/>
  <c r="J617"/>
  <c r="K617" s="1"/>
  <c r="H618"/>
  <c r="I618" s="1"/>
  <c r="J618" s="1"/>
  <c r="K618" s="1"/>
  <c r="R618"/>
  <c r="B621" l="1"/>
  <c r="E620"/>
  <c r="D620"/>
  <c r="C620"/>
  <c r="G620"/>
  <c r="F620"/>
  <c r="T620"/>
  <c r="H619"/>
  <c r="I619" s="1"/>
  <c r="R620" l="1"/>
  <c r="B622"/>
  <c r="D621"/>
  <c r="C621"/>
  <c r="G621"/>
  <c r="F621"/>
  <c r="E621"/>
  <c r="T621"/>
  <c r="J619"/>
  <c r="K619" s="1"/>
  <c r="I620"/>
  <c r="H620"/>
  <c r="B623" l="1"/>
  <c r="C622"/>
  <c r="G622"/>
  <c r="F622"/>
  <c r="E622"/>
  <c r="D622"/>
  <c r="T622"/>
  <c r="J620"/>
  <c r="K620" s="1"/>
  <c r="H621"/>
  <c r="I621" s="1"/>
  <c r="R621"/>
  <c r="H622" l="1"/>
  <c r="I622" s="1"/>
  <c r="J622" s="1"/>
  <c r="K622" s="1"/>
  <c r="B624"/>
  <c r="F623"/>
  <c r="E623"/>
  <c r="D623"/>
  <c r="G623"/>
  <c r="C623"/>
  <c r="T623"/>
  <c r="R623"/>
  <c r="J621"/>
  <c r="K621" s="1"/>
  <c r="R622"/>
  <c r="B625" l="1"/>
  <c r="E624"/>
  <c r="H624" s="1"/>
  <c r="D624"/>
  <c r="R624" s="1"/>
  <c r="C624"/>
  <c r="G624"/>
  <c r="F624"/>
  <c r="T624"/>
  <c r="H623"/>
  <c r="I623" s="1"/>
  <c r="B626" l="1"/>
  <c r="D625"/>
  <c r="C625"/>
  <c r="G625"/>
  <c r="F625"/>
  <c r="I625" s="1"/>
  <c r="E625"/>
  <c r="H625" s="1"/>
  <c r="T625"/>
  <c r="J623"/>
  <c r="K623" s="1"/>
  <c r="I624"/>
  <c r="J624" s="1"/>
  <c r="K624" s="1"/>
  <c r="R625" l="1"/>
  <c r="B627"/>
  <c r="C626"/>
  <c r="G626"/>
  <c r="F626"/>
  <c r="E626"/>
  <c r="D626"/>
  <c r="T626"/>
  <c r="J625"/>
  <c r="K625" s="1"/>
  <c r="B628" l="1"/>
  <c r="F627"/>
  <c r="E627"/>
  <c r="D627"/>
  <c r="G627"/>
  <c r="C627"/>
  <c r="R627" s="1"/>
  <c r="T627"/>
  <c r="H626"/>
  <c r="R626"/>
  <c r="H627" l="1"/>
  <c r="B629"/>
  <c r="E628"/>
  <c r="D628"/>
  <c r="C628"/>
  <c r="R628" s="1"/>
  <c r="G628"/>
  <c r="F628"/>
  <c r="T628"/>
  <c r="J626"/>
  <c r="K626" s="1"/>
  <c r="I626"/>
  <c r="I627" l="1"/>
  <c r="J627" s="1"/>
  <c r="K627" s="1"/>
  <c r="B630"/>
  <c r="D629"/>
  <c r="C629"/>
  <c r="G629"/>
  <c r="F629"/>
  <c r="E629"/>
  <c r="T629"/>
  <c r="H628"/>
  <c r="I628" s="1"/>
  <c r="J628" s="1"/>
  <c r="K628" s="1"/>
  <c r="R629" l="1"/>
  <c r="B631"/>
  <c r="C630"/>
  <c r="G630"/>
  <c r="F630"/>
  <c r="E630"/>
  <c r="D630"/>
  <c r="T630"/>
  <c r="I629"/>
  <c r="H629"/>
  <c r="J629" l="1"/>
  <c r="K629" s="1"/>
  <c r="H630"/>
  <c r="I630" s="1"/>
  <c r="B632"/>
  <c r="F631"/>
  <c r="E631"/>
  <c r="H631" s="1"/>
  <c r="D631"/>
  <c r="C631"/>
  <c r="G631"/>
  <c r="T631"/>
  <c r="R631"/>
  <c r="R630"/>
  <c r="J630" l="1"/>
  <c r="K630" s="1"/>
  <c r="B633"/>
  <c r="E632"/>
  <c r="D632"/>
  <c r="C632"/>
  <c r="G632"/>
  <c r="F632"/>
  <c r="T632"/>
  <c r="I631"/>
  <c r="J631" s="1"/>
  <c r="K631" s="1"/>
  <c r="R632" l="1"/>
  <c r="B634"/>
  <c r="D633"/>
  <c r="C633"/>
  <c r="G633"/>
  <c r="F633"/>
  <c r="E633"/>
  <c r="H633" s="1"/>
  <c r="T633"/>
  <c r="I632"/>
  <c r="J632" s="1"/>
  <c r="K632" s="1"/>
  <c r="H632"/>
  <c r="I633" l="1"/>
  <c r="J633" s="1"/>
  <c r="K633" s="1"/>
  <c r="R633"/>
  <c r="B635"/>
  <c r="C634"/>
  <c r="G634"/>
  <c r="F634"/>
  <c r="E634"/>
  <c r="D634"/>
  <c r="T634"/>
  <c r="B636" l="1"/>
  <c r="F635"/>
  <c r="E635"/>
  <c r="D635"/>
  <c r="G635"/>
  <c r="C635"/>
  <c r="R635" s="1"/>
  <c r="T635"/>
  <c r="H634"/>
  <c r="R634"/>
  <c r="B637" l="1"/>
  <c r="E636"/>
  <c r="H636" s="1"/>
  <c r="D636"/>
  <c r="R636" s="1"/>
  <c r="C636"/>
  <c r="G636"/>
  <c r="F636"/>
  <c r="T636"/>
  <c r="H635"/>
  <c r="I635" s="1"/>
  <c r="J635" s="1"/>
  <c r="K635" s="1"/>
  <c r="I634"/>
  <c r="J634" s="1"/>
  <c r="K634" s="1"/>
  <c r="B638" l="1"/>
  <c r="D637"/>
  <c r="C637"/>
  <c r="G637"/>
  <c r="F637"/>
  <c r="I637" s="1"/>
  <c r="E637"/>
  <c r="H637" s="1"/>
  <c r="I636"/>
  <c r="J636" s="1"/>
  <c r="K636" s="1"/>
  <c r="R637" l="1"/>
  <c r="B639"/>
  <c r="C638"/>
  <c r="G638"/>
  <c r="F638"/>
  <c r="E638"/>
  <c r="D638"/>
  <c r="J637"/>
  <c r="K637" s="1"/>
  <c r="B640" l="1"/>
  <c r="F639"/>
  <c r="E639"/>
  <c r="D639"/>
  <c r="G639"/>
  <c r="C639"/>
  <c r="R639" s="1"/>
  <c r="H638"/>
  <c r="R638"/>
  <c r="I638"/>
  <c r="B641" l="1"/>
  <c r="E640"/>
  <c r="H640" s="1"/>
  <c r="D640"/>
  <c r="C640"/>
  <c r="G640"/>
  <c r="F640"/>
  <c r="R640"/>
  <c r="H639"/>
  <c r="I639" s="1"/>
  <c r="J639" s="1"/>
  <c r="K639" s="1"/>
  <c r="J638"/>
  <c r="K638" s="1"/>
  <c r="B642" l="1"/>
  <c r="D641"/>
  <c r="C641"/>
  <c r="G641"/>
  <c r="F641"/>
  <c r="I641" s="1"/>
  <c r="E641"/>
  <c r="H641" s="1"/>
  <c r="I640"/>
  <c r="J640" s="1"/>
  <c r="K640" s="1"/>
  <c r="R641" l="1"/>
  <c r="J641"/>
  <c r="K641" s="1"/>
  <c r="B643"/>
  <c r="C642"/>
  <c r="G642"/>
  <c r="F642"/>
  <c r="E642"/>
  <c r="D642"/>
  <c r="B644" l="1"/>
  <c r="F643"/>
  <c r="E643"/>
  <c r="D643"/>
  <c r="G643"/>
  <c r="C643"/>
  <c r="R643" s="1"/>
  <c r="H642"/>
  <c r="R642"/>
  <c r="B645" l="1"/>
  <c r="E644"/>
  <c r="D644"/>
  <c r="C644"/>
  <c r="G644"/>
  <c r="F644"/>
  <c r="H643"/>
  <c r="I643" s="1"/>
  <c r="I642"/>
  <c r="J642" s="1"/>
  <c r="K642" s="1"/>
  <c r="R644" l="1"/>
  <c r="D645"/>
  <c r="R645" s="1"/>
  <c r="B646"/>
  <c r="C645"/>
  <c r="G645"/>
  <c r="F645"/>
  <c r="E645"/>
  <c r="H644"/>
  <c r="I644" s="1"/>
  <c r="J644" s="1"/>
  <c r="K644" s="1"/>
  <c r="J643"/>
  <c r="K643" s="1"/>
  <c r="H645" l="1"/>
  <c r="I645" s="1"/>
  <c r="J645" s="1"/>
  <c r="K645" s="1"/>
  <c r="B647"/>
  <c r="C646"/>
  <c r="G646"/>
  <c r="F646"/>
  <c r="E646"/>
  <c r="D646"/>
  <c r="B648" l="1"/>
  <c r="F647"/>
  <c r="E647"/>
  <c r="D647"/>
  <c r="C647"/>
  <c r="R647" s="1"/>
  <c r="G647"/>
  <c r="H646"/>
  <c r="R646"/>
  <c r="I646"/>
  <c r="B649" l="1"/>
  <c r="E648"/>
  <c r="H648" s="1"/>
  <c r="D648"/>
  <c r="C648"/>
  <c r="G648"/>
  <c r="F648"/>
  <c r="R648"/>
  <c r="H647"/>
  <c r="J646"/>
  <c r="K646" s="1"/>
  <c r="B650" l="1"/>
  <c r="D649"/>
  <c r="C649"/>
  <c r="G649"/>
  <c r="F649"/>
  <c r="I649" s="1"/>
  <c r="E649"/>
  <c r="H649" s="1"/>
  <c r="R649"/>
  <c r="I647"/>
  <c r="J647"/>
  <c r="K647" s="1"/>
  <c r="I648"/>
  <c r="J648" s="1"/>
  <c r="K648" s="1"/>
  <c r="B651" l="1"/>
  <c r="C650"/>
  <c r="R650" s="1"/>
  <c r="G650"/>
  <c r="F650"/>
  <c r="E650"/>
  <c r="H650" s="1"/>
  <c r="D650"/>
  <c r="J649"/>
  <c r="K649" s="1"/>
  <c r="B652" l="1"/>
  <c r="E651"/>
  <c r="H651" s="1"/>
  <c r="D651"/>
  <c r="C651"/>
  <c r="G651"/>
  <c r="F651"/>
  <c r="R651"/>
  <c r="I650"/>
  <c r="J650" s="1"/>
  <c r="K650" s="1"/>
  <c r="B653" l="1"/>
  <c r="C652"/>
  <c r="R652" s="1"/>
  <c r="G652"/>
  <c r="F652"/>
  <c r="E652"/>
  <c r="H652" s="1"/>
  <c r="D652"/>
  <c r="I651"/>
  <c r="J651" s="1"/>
  <c r="K651" s="1"/>
  <c r="B654" l="1"/>
  <c r="E653"/>
  <c r="H653" s="1"/>
  <c r="D653"/>
  <c r="C653"/>
  <c r="G653"/>
  <c r="F653"/>
  <c r="R653"/>
  <c r="I652"/>
  <c r="J652" s="1"/>
  <c r="K652" s="1"/>
  <c r="B655" l="1"/>
  <c r="D654"/>
  <c r="C654"/>
  <c r="G654"/>
  <c r="F654"/>
  <c r="I654" s="1"/>
  <c r="J654" s="1"/>
  <c r="K654" s="1"/>
  <c r="E654"/>
  <c r="H654" s="1"/>
  <c r="I653"/>
  <c r="J653" s="1"/>
  <c r="K653" s="1"/>
  <c r="R654" l="1"/>
  <c r="B656"/>
  <c r="F655"/>
  <c r="E655"/>
  <c r="D655"/>
  <c r="G655"/>
  <c r="C655"/>
  <c r="R655" l="1"/>
  <c r="B657"/>
  <c r="D656"/>
  <c r="R656" s="1"/>
  <c r="C656"/>
  <c r="G656"/>
  <c r="F656"/>
  <c r="E656"/>
  <c r="H656" s="1"/>
  <c r="H655"/>
  <c r="I655" s="1"/>
  <c r="J655" s="1"/>
  <c r="K655" s="1"/>
  <c r="B658" l="1"/>
  <c r="F657"/>
  <c r="E657"/>
  <c r="D657"/>
  <c r="G657"/>
  <c r="C657"/>
  <c r="R657" s="1"/>
  <c r="I656"/>
  <c r="J656" s="1"/>
  <c r="K656" s="1"/>
  <c r="H657" l="1"/>
  <c r="I657" s="1"/>
  <c r="J657" s="1"/>
  <c r="K657" s="1"/>
  <c r="B659"/>
  <c r="E658"/>
  <c r="D658"/>
  <c r="C658"/>
  <c r="G658"/>
  <c r="F658"/>
  <c r="R658" l="1"/>
  <c r="H658"/>
  <c r="I658" s="1"/>
  <c r="J658" s="1"/>
  <c r="K658" s="1"/>
  <c r="B660"/>
  <c r="C659"/>
  <c r="G659"/>
  <c r="F659"/>
  <c r="E659"/>
  <c r="H659" s="1"/>
  <c r="D659"/>
  <c r="R659" l="1"/>
  <c r="B661"/>
  <c r="E660"/>
  <c r="D660"/>
  <c r="C660"/>
  <c r="R660" s="1"/>
  <c r="G660"/>
  <c r="F660"/>
  <c r="I659"/>
  <c r="J659" s="1"/>
  <c r="K659" s="1"/>
  <c r="H660" l="1"/>
  <c r="I660" s="1"/>
  <c r="J660" s="1"/>
  <c r="K660" s="1"/>
  <c r="B662"/>
  <c r="C661"/>
  <c r="G661"/>
  <c r="F661"/>
  <c r="E661"/>
  <c r="D661"/>
  <c r="R661" l="1"/>
  <c r="H661"/>
  <c r="I661" s="1"/>
  <c r="J661" s="1"/>
  <c r="K661" s="1"/>
  <c r="B663"/>
  <c r="F662"/>
  <c r="E662"/>
  <c r="D662"/>
  <c r="G662"/>
  <c r="C662"/>
  <c r="R662" l="1"/>
  <c r="B664"/>
  <c r="D663"/>
  <c r="R663" s="1"/>
  <c r="C663"/>
  <c r="G663"/>
  <c r="F663"/>
  <c r="E663"/>
  <c r="H663" s="1"/>
  <c r="H662"/>
  <c r="I662" s="1"/>
  <c r="J662" s="1"/>
  <c r="K662" s="1"/>
  <c r="I663" l="1"/>
  <c r="J663" s="1"/>
  <c r="K663" s="1"/>
  <c r="B665"/>
  <c r="F664"/>
  <c r="E664"/>
  <c r="D664"/>
  <c r="C664"/>
  <c r="G664"/>
  <c r="R664" l="1"/>
  <c r="B666"/>
  <c r="D665"/>
  <c r="R665" s="1"/>
  <c r="C665"/>
  <c r="G665"/>
  <c r="F665"/>
  <c r="E665"/>
  <c r="H665" s="1"/>
  <c r="H664"/>
  <c r="B667" l="1"/>
  <c r="C666"/>
  <c r="G666"/>
  <c r="F666"/>
  <c r="E666"/>
  <c r="H666" s="1"/>
  <c r="D666"/>
  <c r="I665"/>
  <c r="J665" s="1"/>
  <c r="K665" s="1"/>
  <c r="I664"/>
  <c r="J664" s="1"/>
  <c r="K664" s="1"/>
  <c r="R666" l="1"/>
  <c r="B668"/>
  <c r="E667"/>
  <c r="D667"/>
  <c r="C667"/>
  <c r="R667" s="1"/>
  <c r="G667"/>
  <c r="F667"/>
  <c r="I666"/>
  <c r="J666" s="1"/>
  <c r="K666" s="1"/>
  <c r="H667" l="1"/>
  <c r="I667" s="1"/>
  <c r="J667" s="1"/>
  <c r="K667" s="1"/>
  <c r="B669"/>
  <c r="C668"/>
  <c r="G668"/>
  <c r="F668"/>
  <c r="E668"/>
  <c r="H668" s="1"/>
  <c r="D668"/>
  <c r="R668" l="1"/>
  <c r="B670"/>
  <c r="E669"/>
  <c r="D669"/>
  <c r="C669"/>
  <c r="R669" s="1"/>
  <c r="G669"/>
  <c r="F669"/>
  <c r="I668"/>
  <c r="J668" s="1"/>
  <c r="K668" s="1"/>
  <c r="H669" l="1"/>
  <c r="B671"/>
  <c r="D670"/>
  <c r="C670"/>
  <c r="G670"/>
  <c r="F670"/>
  <c r="E670"/>
  <c r="R670"/>
  <c r="I669"/>
  <c r="J669" s="1"/>
  <c r="K669" s="1"/>
  <c r="I670" l="1"/>
  <c r="H670"/>
  <c r="B672"/>
  <c r="C671"/>
  <c r="G671"/>
  <c r="F671"/>
  <c r="E671"/>
  <c r="H671" s="1"/>
  <c r="D671"/>
  <c r="J670"/>
  <c r="K670" s="1"/>
  <c r="R671" l="1"/>
  <c r="B673"/>
  <c r="F672"/>
  <c r="E672"/>
  <c r="D672"/>
  <c r="G672"/>
  <c r="C672"/>
  <c r="H672" s="1"/>
  <c r="I671"/>
  <c r="J671" s="1"/>
  <c r="K671" s="1"/>
  <c r="I672" l="1"/>
  <c r="J672" s="1"/>
  <c r="K672" s="1"/>
  <c r="R672"/>
  <c r="B674"/>
  <c r="E673"/>
  <c r="D673"/>
  <c r="C673"/>
  <c r="G673"/>
  <c r="F673"/>
  <c r="R673"/>
  <c r="B675" l="1"/>
  <c r="D674"/>
  <c r="R674" s="1"/>
  <c r="C674"/>
  <c r="G674"/>
  <c r="F674"/>
  <c r="I674" s="1"/>
  <c r="E674"/>
  <c r="H674" s="1"/>
  <c r="H673"/>
  <c r="I673" s="1"/>
  <c r="J673" s="1"/>
  <c r="K673" s="1"/>
  <c r="J674" l="1"/>
  <c r="K674" s="1"/>
  <c r="B676"/>
  <c r="C675"/>
  <c r="G675"/>
  <c r="E675"/>
  <c r="H675" s="1"/>
  <c r="F675"/>
  <c r="D675"/>
  <c r="R675" l="1"/>
  <c r="B677"/>
  <c r="F676"/>
  <c r="D676"/>
  <c r="G676"/>
  <c r="E676"/>
  <c r="C676"/>
  <c r="R676" s="1"/>
  <c r="I675"/>
  <c r="J675"/>
  <c r="K675" s="1"/>
  <c r="B678" l="1"/>
  <c r="E677"/>
  <c r="H677" s="1"/>
  <c r="C677"/>
  <c r="G677"/>
  <c r="D677"/>
  <c r="F677"/>
  <c r="H676"/>
  <c r="I676" s="1"/>
  <c r="R677" l="1"/>
  <c r="B679"/>
  <c r="D678"/>
  <c r="F678"/>
  <c r="G678"/>
  <c r="E678"/>
  <c r="H678" s="1"/>
  <c r="C678"/>
  <c r="R678" s="1"/>
  <c r="I677"/>
  <c r="J677" s="1"/>
  <c r="K677" s="1"/>
  <c r="J676"/>
  <c r="K676" s="1"/>
  <c r="I678" l="1"/>
  <c r="J678" s="1"/>
  <c r="K678" s="1"/>
  <c r="B680"/>
  <c r="C679"/>
  <c r="G679"/>
  <c r="E679"/>
  <c r="H679" s="1"/>
  <c r="F679"/>
  <c r="D679"/>
  <c r="R679" l="1"/>
  <c r="B681"/>
  <c r="F680"/>
  <c r="D680"/>
  <c r="E680"/>
  <c r="C680"/>
  <c r="G680"/>
  <c r="I679"/>
  <c r="J679" s="1"/>
  <c r="K679" s="1"/>
  <c r="H680" l="1"/>
  <c r="I680" s="1"/>
  <c r="J680" s="1"/>
  <c r="K680" s="1"/>
  <c r="B682"/>
  <c r="E681"/>
  <c r="C681"/>
  <c r="G681"/>
  <c r="F681"/>
  <c r="D681"/>
  <c r="R680"/>
  <c r="R681" l="1"/>
  <c r="I681"/>
  <c r="J681" s="1"/>
  <c r="K681" s="1"/>
  <c r="H681"/>
  <c r="B683"/>
  <c r="D682"/>
  <c r="F682"/>
  <c r="C682"/>
  <c r="G682"/>
  <c r="E682"/>
  <c r="H682" l="1"/>
  <c r="R682"/>
  <c r="B684"/>
  <c r="C683"/>
  <c r="G683"/>
  <c r="E683"/>
  <c r="F683"/>
  <c r="D683"/>
  <c r="I682"/>
  <c r="J682" s="1"/>
  <c r="K682" s="1"/>
  <c r="R683" l="1"/>
  <c r="B685"/>
  <c r="F684"/>
  <c r="D684"/>
  <c r="G684"/>
  <c r="E684"/>
  <c r="C684"/>
  <c r="H683"/>
  <c r="J683" l="1"/>
  <c r="K683" s="1"/>
  <c r="B686"/>
  <c r="E685"/>
  <c r="C685"/>
  <c r="G685"/>
  <c r="D685"/>
  <c r="F685"/>
  <c r="H684"/>
  <c r="I684" s="1"/>
  <c r="J684" s="1"/>
  <c r="K684" s="1"/>
  <c r="R684"/>
  <c r="I683"/>
  <c r="R685" l="1"/>
  <c r="B687"/>
  <c r="D686"/>
  <c r="F686"/>
  <c r="G686"/>
  <c r="E686"/>
  <c r="C686"/>
  <c r="R686" s="1"/>
  <c r="H685"/>
  <c r="H686" l="1"/>
  <c r="I686" s="1"/>
  <c r="J686" s="1"/>
  <c r="K686" s="1"/>
  <c r="B688"/>
  <c r="C687"/>
  <c r="G687"/>
  <c r="E687"/>
  <c r="F687"/>
  <c r="D687"/>
  <c r="I685"/>
  <c r="J685" s="1"/>
  <c r="K685" s="1"/>
  <c r="R687" l="1"/>
  <c r="B689"/>
  <c r="F688"/>
  <c r="D688"/>
  <c r="E688"/>
  <c r="C688"/>
  <c r="G688"/>
  <c r="H687"/>
  <c r="B690" l="1"/>
  <c r="E689"/>
  <c r="C689"/>
  <c r="G689"/>
  <c r="F689"/>
  <c r="D689"/>
  <c r="I687"/>
  <c r="J687" s="1"/>
  <c r="K687" s="1"/>
  <c r="H688"/>
  <c r="I688" s="1"/>
  <c r="J688" s="1"/>
  <c r="K688" s="1"/>
  <c r="R688"/>
  <c r="R689" l="1"/>
  <c r="B691"/>
  <c r="D690"/>
  <c r="F690"/>
  <c r="C690"/>
  <c r="G690"/>
  <c r="E690"/>
  <c r="H689"/>
  <c r="H690" l="1"/>
  <c r="I690" s="1"/>
  <c r="J690" s="1"/>
  <c r="K690" s="1"/>
  <c r="R690"/>
  <c r="B692"/>
  <c r="C691"/>
  <c r="G691"/>
  <c r="E691"/>
  <c r="H691" s="1"/>
  <c r="F691"/>
  <c r="D691"/>
  <c r="J689"/>
  <c r="K689" s="1"/>
  <c r="I689"/>
  <c r="R691" l="1"/>
  <c r="B693"/>
  <c r="F692"/>
  <c r="D692"/>
  <c r="G692"/>
  <c r="E692"/>
  <c r="C692"/>
  <c r="I691"/>
  <c r="J691" s="1"/>
  <c r="K691" s="1"/>
  <c r="H692" l="1"/>
  <c r="I692" s="1"/>
  <c r="R692"/>
  <c r="B694"/>
  <c r="E693"/>
  <c r="C693"/>
  <c r="R693" s="1"/>
  <c r="G693"/>
  <c r="D693"/>
  <c r="F693"/>
  <c r="B695" l="1"/>
  <c r="D694"/>
  <c r="F694"/>
  <c r="G694"/>
  <c r="E694"/>
  <c r="C694"/>
  <c r="R694" s="1"/>
  <c r="J692"/>
  <c r="K692" s="1"/>
  <c r="H693"/>
  <c r="I693" s="1"/>
  <c r="J693" s="1"/>
  <c r="K693" s="1"/>
  <c r="H694" l="1"/>
  <c r="I694" s="1"/>
  <c r="J694" s="1"/>
  <c r="K694" s="1"/>
  <c r="B696"/>
  <c r="C695"/>
  <c r="R695" s="1"/>
  <c r="G695"/>
  <c r="E695"/>
  <c r="F695"/>
  <c r="D695"/>
  <c r="B697" l="1"/>
  <c r="F696"/>
  <c r="D696"/>
  <c r="E696"/>
  <c r="C696"/>
  <c r="H696" s="1"/>
  <c r="G696"/>
  <c r="H695"/>
  <c r="J695" l="1"/>
  <c r="K695" s="1"/>
  <c r="B698"/>
  <c r="E697"/>
  <c r="C697"/>
  <c r="G697"/>
  <c r="F697"/>
  <c r="D697"/>
  <c r="R697" s="1"/>
  <c r="I696"/>
  <c r="J696" s="1"/>
  <c r="K696" s="1"/>
  <c r="R696"/>
  <c r="I695"/>
  <c r="B699" l="1"/>
  <c r="D698"/>
  <c r="R698" s="1"/>
  <c r="F698"/>
  <c r="C698"/>
  <c r="G698"/>
  <c r="E698"/>
  <c r="H698" s="1"/>
  <c r="H697"/>
  <c r="I697" s="1"/>
  <c r="J697" s="1"/>
  <c r="K697" s="1"/>
  <c r="B700" l="1"/>
  <c r="C699"/>
  <c r="R699" s="1"/>
  <c r="G699"/>
  <c r="E699"/>
  <c r="F699"/>
  <c r="D699"/>
  <c r="I698"/>
  <c r="J698" s="1"/>
  <c r="K698" s="1"/>
  <c r="H699" l="1"/>
  <c r="I699" s="1"/>
  <c r="J699" s="1"/>
  <c r="K699" s="1"/>
  <c r="B701"/>
  <c r="F700"/>
  <c r="D700"/>
  <c r="G700"/>
  <c r="E700"/>
  <c r="C700"/>
  <c r="H700" l="1"/>
  <c r="I700" s="1"/>
  <c r="J700" s="1"/>
  <c r="K700" s="1"/>
  <c r="B702"/>
  <c r="E701"/>
  <c r="C701"/>
  <c r="G701"/>
  <c r="D701"/>
  <c r="F701"/>
  <c r="R700"/>
  <c r="R701" l="1"/>
  <c r="H701"/>
  <c r="B703"/>
  <c r="D702"/>
  <c r="F702"/>
  <c r="G702"/>
  <c r="E702"/>
  <c r="C702"/>
  <c r="R702" s="1"/>
  <c r="I701"/>
  <c r="J701" s="1"/>
  <c r="K701" s="1"/>
  <c r="H702" l="1"/>
  <c r="I702" s="1"/>
  <c r="J702" s="1"/>
  <c r="K702" s="1"/>
  <c r="B704"/>
  <c r="C703"/>
  <c r="R703" s="1"/>
  <c r="G703"/>
  <c r="E703"/>
  <c r="F703"/>
  <c r="D703"/>
  <c r="B705" l="1"/>
  <c r="F704"/>
  <c r="D704"/>
  <c r="E704"/>
  <c r="C704"/>
  <c r="H704" s="1"/>
  <c r="G704"/>
  <c r="H703"/>
  <c r="I703" s="1"/>
  <c r="R704" l="1"/>
  <c r="B706"/>
  <c r="E705"/>
  <c r="H705" s="1"/>
  <c r="C705"/>
  <c r="G705"/>
  <c r="F705"/>
  <c r="D705"/>
  <c r="R705" s="1"/>
  <c r="J703"/>
  <c r="K703" s="1"/>
  <c r="I704"/>
  <c r="J704" s="1"/>
  <c r="K704" s="1"/>
  <c r="I705" l="1"/>
  <c r="J705" s="1"/>
  <c r="K705" s="1"/>
  <c r="B707"/>
  <c r="D706"/>
  <c r="F706"/>
  <c r="C706"/>
  <c r="G706"/>
  <c r="E706"/>
  <c r="H706" l="1"/>
  <c r="R706"/>
  <c r="B708"/>
  <c r="C707"/>
  <c r="G707"/>
  <c r="E707"/>
  <c r="F707"/>
  <c r="D707"/>
  <c r="I706"/>
  <c r="J706" s="1"/>
  <c r="K706" s="1"/>
  <c r="R707" l="1"/>
  <c r="B709"/>
  <c r="F708"/>
  <c r="D708"/>
  <c r="G708"/>
  <c r="E708"/>
  <c r="C708"/>
  <c r="H707"/>
  <c r="I707" s="1"/>
  <c r="J707" s="1"/>
  <c r="K707" s="1"/>
  <c r="H708" l="1"/>
  <c r="I708" s="1"/>
  <c r="B710"/>
  <c r="E709"/>
  <c r="H709" s="1"/>
  <c r="C709"/>
  <c r="G709"/>
  <c r="D709"/>
  <c r="R709" s="1"/>
  <c r="F709"/>
  <c r="R708"/>
  <c r="B711" l="1"/>
  <c r="D710"/>
  <c r="F710"/>
  <c r="G710"/>
  <c r="E710"/>
  <c r="C710"/>
  <c r="R710" s="1"/>
  <c r="I709"/>
  <c r="J709" s="1"/>
  <c r="K709" s="1"/>
  <c r="J708"/>
  <c r="K708" s="1"/>
  <c r="H710" l="1"/>
  <c r="I710" s="1"/>
  <c r="B712"/>
  <c r="C711"/>
  <c r="G711"/>
  <c r="E711"/>
  <c r="F711"/>
  <c r="D711"/>
  <c r="R711" l="1"/>
  <c r="J710"/>
  <c r="K710" s="1"/>
  <c r="H711"/>
  <c r="B713"/>
  <c r="F712"/>
  <c r="D712"/>
  <c r="E712"/>
  <c r="C712"/>
  <c r="G712"/>
  <c r="I711"/>
  <c r="J711" s="1"/>
  <c r="K711" s="1"/>
  <c r="H712" l="1"/>
  <c r="I712" s="1"/>
  <c r="J712" s="1"/>
  <c r="K712" s="1"/>
  <c r="B714"/>
  <c r="E713"/>
  <c r="C713"/>
  <c r="G713"/>
  <c r="F713"/>
  <c r="D713"/>
  <c r="R712"/>
  <c r="R713" l="1"/>
  <c r="H713"/>
  <c r="B715"/>
  <c r="D714"/>
  <c r="F714"/>
  <c r="C714"/>
  <c r="G714"/>
  <c r="E714"/>
  <c r="R714"/>
  <c r="I713"/>
  <c r="J713" s="1"/>
  <c r="K713" s="1"/>
  <c r="H714" l="1"/>
  <c r="I714" s="1"/>
  <c r="J714" s="1"/>
  <c r="K714" s="1"/>
  <c r="B716"/>
  <c r="C715"/>
  <c r="G715"/>
  <c r="E715"/>
  <c r="F715"/>
  <c r="D715"/>
  <c r="R715" l="1"/>
  <c r="B717"/>
  <c r="F716"/>
  <c r="D716"/>
  <c r="G716"/>
  <c r="E716"/>
  <c r="C716"/>
  <c r="H715"/>
  <c r="I715" s="1"/>
  <c r="J715" s="1"/>
  <c r="K715" s="1"/>
  <c r="H716" l="1"/>
  <c r="I716" s="1"/>
  <c r="J716" s="1"/>
  <c r="K716" s="1"/>
  <c r="B718"/>
  <c r="E717"/>
  <c r="H717" s="1"/>
  <c r="C717"/>
  <c r="G717"/>
  <c r="D717"/>
  <c r="R717" s="1"/>
  <c r="F717"/>
  <c r="R716"/>
  <c r="B719" l="1"/>
  <c r="D718"/>
  <c r="F718"/>
  <c r="G718"/>
  <c r="E718"/>
  <c r="C718"/>
  <c r="R718" s="1"/>
  <c r="I717"/>
  <c r="J717" s="1"/>
  <c r="K717" s="1"/>
  <c r="H718" l="1"/>
  <c r="I718" s="1"/>
  <c r="J718" s="1"/>
  <c r="K718" s="1"/>
  <c r="B720"/>
  <c r="C719"/>
  <c r="R719" s="1"/>
  <c r="G719"/>
  <c r="E719"/>
  <c r="F719"/>
  <c r="D719"/>
  <c r="B721" l="1"/>
  <c r="F720"/>
  <c r="D720"/>
  <c r="E720"/>
  <c r="C720"/>
  <c r="H720" s="1"/>
  <c r="G720"/>
  <c r="H719"/>
  <c r="I720" l="1"/>
  <c r="J720" s="1"/>
  <c r="K720" s="1"/>
  <c r="B722"/>
  <c r="E721"/>
  <c r="H721" s="1"/>
  <c r="C721"/>
  <c r="G721"/>
  <c r="F721"/>
  <c r="D721"/>
  <c r="R721" s="1"/>
  <c r="R720"/>
  <c r="I719"/>
  <c r="J719" s="1"/>
  <c r="K719" s="1"/>
  <c r="B723" l="1"/>
  <c r="D722"/>
  <c r="F722"/>
  <c r="C722"/>
  <c r="G722"/>
  <c r="E722"/>
  <c r="I721"/>
  <c r="J721" s="1"/>
  <c r="K721" s="1"/>
  <c r="R722" l="1"/>
  <c r="H722"/>
  <c r="I722" s="1"/>
  <c r="J722" s="1"/>
  <c r="K722" s="1"/>
  <c r="B724"/>
  <c r="C723"/>
  <c r="G723"/>
  <c r="E723"/>
  <c r="F723"/>
  <c r="D723"/>
  <c r="R723" l="1"/>
  <c r="B725"/>
  <c r="F724"/>
  <c r="D724"/>
  <c r="G724"/>
  <c r="E724"/>
  <c r="C724"/>
  <c r="H723"/>
  <c r="I723" s="1"/>
  <c r="J723" s="1"/>
  <c r="K723" s="1"/>
  <c r="H724" l="1"/>
  <c r="I724" s="1"/>
  <c r="B726"/>
  <c r="E725"/>
  <c r="H725" s="1"/>
  <c r="C725"/>
  <c r="G725"/>
  <c r="D725"/>
  <c r="R725" s="1"/>
  <c r="F725"/>
  <c r="R724"/>
  <c r="B727" l="1"/>
  <c r="D726"/>
  <c r="F726"/>
  <c r="G726"/>
  <c r="E726"/>
  <c r="C726"/>
  <c r="R726" s="1"/>
  <c r="J724"/>
  <c r="K724" s="1"/>
  <c r="I725"/>
  <c r="J725" s="1"/>
  <c r="K725" s="1"/>
  <c r="H726" l="1"/>
  <c r="I726" s="1"/>
  <c r="J726" s="1"/>
  <c r="K726" s="1"/>
  <c r="B728"/>
  <c r="C727"/>
  <c r="G727"/>
  <c r="E727"/>
  <c r="H727" s="1"/>
  <c r="F727"/>
  <c r="D727"/>
  <c r="R727" l="1"/>
  <c r="I727"/>
  <c r="J727" s="1"/>
  <c r="K727" s="1"/>
  <c r="B729"/>
  <c r="F728"/>
  <c r="D728"/>
  <c r="E728"/>
  <c r="C728"/>
  <c r="G728"/>
  <c r="B730" l="1"/>
  <c r="E729"/>
  <c r="H729" s="1"/>
  <c r="C729"/>
  <c r="G729"/>
  <c r="F729"/>
  <c r="D729"/>
  <c r="H728"/>
  <c r="I728" s="1"/>
  <c r="J728" s="1"/>
  <c r="K728" s="1"/>
  <c r="R728"/>
  <c r="I729" l="1"/>
  <c r="J729" s="1"/>
  <c r="K729" s="1"/>
  <c r="R729"/>
  <c r="B731"/>
  <c r="D730"/>
  <c r="F730"/>
  <c r="C730"/>
  <c r="G730"/>
  <c r="E730"/>
  <c r="R730"/>
  <c r="H730" l="1"/>
  <c r="I730" s="1"/>
  <c r="J730" s="1"/>
  <c r="K730" s="1"/>
  <c r="B732"/>
  <c r="C731"/>
  <c r="G731"/>
  <c r="E731"/>
  <c r="H731" s="1"/>
  <c r="F731"/>
  <c r="D731"/>
  <c r="R731" l="1"/>
  <c r="I731"/>
  <c r="J731" s="1"/>
  <c r="K731" s="1"/>
  <c r="B733"/>
  <c r="D732"/>
  <c r="G732"/>
  <c r="F732"/>
  <c r="E732"/>
  <c r="C732"/>
  <c r="B734" l="1"/>
  <c r="F733"/>
  <c r="E733"/>
  <c r="D733"/>
  <c r="G733"/>
  <c r="C733"/>
  <c r="R733" s="1"/>
  <c r="H732"/>
  <c r="I732" s="1"/>
  <c r="J732" s="1"/>
  <c r="K732" s="1"/>
  <c r="R732"/>
  <c r="H733" l="1"/>
  <c r="B735"/>
  <c r="E734"/>
  <c r="D734"/>
  <c r="C734"/>
  <c r="R734" s="1"/>
  <c r="G734"/>
  <c r="F734"/>
  <c r="B736" l="1"/>
  <c r="D735"/>
  <c r="C735"/>
  <c r="G735"/>
  <c r="F735"/>
  <c r="I735" s="1"/>
  <c r="E735"/>
  <c r="H735" s="1"/>
  <c r="I733"/>
  <c r="J733" s="1"/>
  <c r="K733" s="1"/>
  <c r="H734"/>
  <c r="I734" s="1"/>
  <c r="R735" l="1"/>
  <c r="J735"/>
  <c r="K735" s="1"/>
  <c r="B737"/>
  <c r="C736"/>
  <c r="G736"/>
  <c r="F736"/>
  <c r="E736"/>
  <c r="D736"/>
  <c r="J734"/>
  <c r="K734" s="1"/>
  <c r="B738" l="1"/>
  <c r="F737"/>
  <c r="E737"/>
  <c r="D737"/>
  <c r="G737"/>
  <c r="C737"/>
  <c r="R737" s="1"/>
  <c r="H736"/>
  <c r="I736" s="1"/>
  <c r="J736" s="1"/>
  <c r="K736" s="1"/>
  <c r="R736"/>
  <c r="B739" l="1"/>
  <c r="E738"/>
  <c r="H738" s="1"/>
  <c r="D738"/>
  <c r="C738"/>
  <c r="G738"/>
  <c r="F738"/>
  <c r="R738"/>
  <c r="H737"/>
  <c r="I737" s="1"/>
  <c r="J737" s="1"/>
  <c r="K737" s="1"/>
  <c r="B740" l="1"/>
  <c r="D739"/>
  <c r="C739"/>
  <c r="G739"/>
  <c r="F739"/>
  <c r="I739" s="1"/>
  <c r="J739" s="1"/>
  <c r="K739" s="1"/>
  <c r="E739"/>
  <c r="H739" s="1"/>
  <c r="I738"/>
  <c r="J738" s="1"/>
  <c r="K738" s="1"/>
  <c r="R739" l="1"/>
  <c r="B741"/>
  <c r="C740"/>
  <c r="G740"/>
  <c r="F740"/>
  <c r="E740"/>
  <c r="D740"/>
  <c r="H740" l="1"/>
  <c r="I740" s="1"/>
  <c r="J740" s="1"/>
  <c r="K740" s="1"/>
  <c r="B742"/>
  <c r="F741"/>
  <c r="E741"/>
  <c r="D741"/>
  <c r="G741"/>
  <c r="C741"/>
  <c r="R740"/>
  <c r="R741" l="1"/>
  <c r="B743"/>
  <c r="E742"/>
  <c r="D742"/>
  <c r="C742"/>
  <c r="R742" s="1"/>
  <c r="G742"/>
  <c r="F742"/>
  <c r="H741"/>
  <c r="I741" s="1"/>
  <c r="J741" s="1"/>
  <c r="K741" s="1"/>
  <c r="H742" l="1"/>
  <c r="I742" s="1"/>
  <c r="J742" s="1"/>
  <c r="K742" s="1"/>
  <c r="B744"/>
  <c r="D743"/>
  <c r="C743"/>
  <c r="G743"/>
  <c r="F743"/>
  <c r="E743"/>
  <c r="H743" s="1"/>
  <c r="R743" l="1"/>
  <c r="B745"/>
  <c r="C744"/>
  <c r="G744"/>
  <c r="F744"/>
  <c r="E744"/>
  <c r="D744"/>
  <c r="I743"/>
  <c r="J743" s="1"/>
  <c r="K743" s="1"/>
  <c r="H744" l="1"/>
  <c r="I744" s="1"/>
  <c r="J744" s="1"/>
  <c r="K744" s="1"/>
  <c r="R744"/>
  <c r="B746"/>
  <c r="F745"/>
  <c r="E745"/>
  <c r="H745" s="1"/>
  <c r="D745"/>
  <c r="C745"/>
  <c r="G745"/>
  <c r="R745"/>
  <c r="B747" l="1"/>
  <c r="E746"/>
  <c r="H746" s="1"/>
  <c r="D746"/>
  <c r="C746"/>
  <c r="G746"/>
  <c r="F746"/>
  <c r="R746"/>
  <c r="I745"/>
  <c r="J745" s="1"/>
  <c r="K745" s="1"/>
  <c r="B748" l="1"/>
  <c r="D747"/>
  <c r="C747"/>
  <c r="G747"/>
  <c r="F747"/>
  <c r="E747"/>
  <c r="H747" s="1"/>
  <c r="I746"/>
  <c r="J746" s="1"/>
  <c r="K746" s="1"/>
  <c r="R747" l="1"/>
  <c r="B749"/>
  <c r="C748"/>
  <c r="R748" s="1"/>
  <c r="G748"/>
  <c r="F748"/>
  <c r="E748"/>
  <c r="D748"/>
  <c r="I747"/>
  <c r="J747" s="1"/>
  <c r="K747" s="1"/>
  <c r="B750" l="1"/>
  <c r="F749"/>
  <c r="E749"/>
  <c r="D749"/>
  <c r="G749"/>
  <c r="C749"/>
  <c r="R749" s="1"/>
  <c r="H748"/>
  <c r="I748" s="1"/>
  <c r="J748" s="1"/>
  <c r="K748" s="1"/>
  <c r="B751" l="1"/>
  <c r="E750"/>
  <c r="H750" s="1"/>
  <c r="D750"/>
  <c r="C750"/>
  <c r="G750"/>
  <c r="F750"/>
  <c r="R750"/>
  <c r="H749"/>
  <c r="I750" l="1"/>
  <c r="J750" s="1"/>
  <c r="K750" s="1"/>
  <c r="B752"/>
  <c r="D751"/>
  <c r="R751" s="1"/>
  <c r="C751"/>
  <c r="G751"/>
  <c r="F751"/>
  <c r="E751"/>
  <c r="H751" s="1"/>
  <c r="I749"/>
  <c r="J749" s="1"/>
  <c r="K749" s="1"/>
  <c r="B753" l="1"/>
  <c r="C752"/>
  <c r="G752"/>
  <c r="F752"/>
  <c r="E752"/>
  <c r="D752"/>
  <c r="I751"/>
  <c r="J751" s="1"/>
  <c r="K751" s="1"/>
  <c r="B754" l="1"/>
  <c r="F753"/>
  <c r="E753"/>
  <c r="D753"/>
  <c r="G753"/>
  <c r="C753"/>
  <c r="R753" s="1"/>
  <c r="H752"/>
  <c r="R752"/>
  <c r="I752"/>
  <c r="J752" s="1"/>
  <c r="K752" s="1"/>
  <c r="H753" l="1"/>
  <c r="I753" s="1"/>
  <c r="B755"/>
  <c r="E754"/>
  <c r="D754"/>
  <c r="C754"/>
  <c r="R754" s="1"/>
  <c r="G754"/>
  <c r="F754"/>
  <c r="J753" l="1"/>
  <c r="K753" s="1"/>
  <c r="H754"/>
  <c r="I754" s="1"/>
  <c r="B756"/>
  <c r="D755"/>
  <c r="C755"/>
  <c r="G755"/>
  <c r="F755"/>
  <c r="E755"/>
  <c r="H755" l="1"/>
  <c r="I755" s="1"/>
  <c r="J755" s="1"/>
  <c r="K755" s="1"/>
  <c r="R755"/>
  <c r="B757"/>
  <c r="C756"/>
  <c r="G756"/>
  <c r="F756"/>
  <c r="E756"/>
  <c r="D756"/>
  <c r="J754"/>
  <c r="K754" s="1"/>
  <c r="R756" l="1"/>
  <c r="B758"/>
  <c r="F757"/>
  <c r="E757"/>
  <c r="D757"/>
  <c r="G757"/>
  <c r="C757"/>
  <c r="H756"/>
  <c r="I756" s="1"/>
  <c r="J756" s="1"/>
  <c r="K756" s="1"/>
  <c r="R757" l="1"/>
  <c r="B759"/>
  <c r="E758"/>
  <c r="D758"/>
  <c r="C758"/>
  <c r="R758" s="1"/>
  <c r="G758"/>
  <c r="F758"/>
  <c r="H757"/>
  <c r="I757" s="1"/>
  <c r="J757" s="1"/>
  <c r="K757" s="1"/>
  <c r="H758" l="1"/>
  <c r="I758" s="1"/>
  <c r="J758" s="1"/>
  <c r="K758" s="1"/>
  <c r="B760"/>
  <c r="D759"/>
  <c r="R759" s="1"/>
  <c r="C759"/>
  <c r="G759"/>
  <c r="F759"/>
  <c r="E759"/>
  <c r="H759" s="1"/>
  <c r="I759" l="1"/>
  <c r="J759" s="1"/>
  <c r="K759" s="1"/>
  <c r="B761"/>
  <c r="C760"/>
  <c r="G760"/>
  <c r="F760"/>
  <c r="E760"/>
  <c r="D760"/>
  <c r="B762" l="1"/>
  <c r="F761"/>
  <c r="E761"/>
  <c r="D761"/>
  <c r="C761"/>
  <c r="R761" s="1"/>
  <c r="G761"/>
  <c r="H760"/>
  <c r="R760"/>
  <c r="I760"/>
  <c r="B763" l="1"/>
  <c r="E762"/>
  <c r="H762" s="1"/>
  <c r="D762"/>
  <c r="C762"/>
  <c r="G762"/>
  <c r="F762"/>
  <c r="R762"/>
  <c r="H761"/>
  <c r="I761" s="1"/>
  <c r="J761" s="1"/>
  <c r="K761" s="1"/>
  <c r="J760"/>
  <c r="K760" s="1"/>
  <c r="B764" l="1"/>
  <c r="D763"/>
  <c r="C763"/>
  <c r="G763"/>
  <c r="F763"/>
  <c r="I763" s="1"/>
  <c r="J763" s="1"/>
  <c r="K763" s="1"/>
  <c r="E763"/>
  <c r="H763" s="1"/>
  <c r="I762"/>
  <c r="J762" s="1"/>
  <c r="K762" s="1"/>
  <c r="R763" l="1"/>
  <c r="B765"/>
  <c r="C764"/>
  <c r="G764"/>
  <c r="F764"/>
  <c r="E764"/>
  <c r="D764"/>
  <c r="B766" l="1"/>
  <c r="F765"/>
  <c r="E765"/>
  <c r="D765"/>
  <c r="G765"/>
  <c r="C765"/>
  <c r="R765" s="1"/>
  <c r="H764"/>
  <c r="R764"/>
  <c r="I764"/>
  <c r="H765" l="1"/>
  <c r="B767"/>
  <c r="E766"/>
  <c r="D766"/>
  <c r="C766"/>
  <c r="G766"/>
  <c r="F766"/>
  <c r="J764"/>
  <c r="K764" s="1"/>
  <c r="R766" l="1"/>
  <c r="I765"/>
  <c r="J765" s="1"/>
  <c r="K765" s="1"/>
  <c r="I766"/>
  <c r="J766" s="1"/>
  <c r="K766" s="1"/>
  <c r="H766"/>
  <c r="B768"/>
  <c r="D767"/>
  <c r="R767" s="1"/>
  <c r="C767"/>
  <c r="G767"/>
  <c r="F767"/>
  <c r="E767"/>
  <c r="H767" s="1"/>
  <c r="I767" l="1"/>
  <c r="J767" s="1"/>
  <c r="K767" s="1"/>
  <c r="B769"/>
  <c r="C768"/>
  <c r="G768"/>
  <c r="F768"/>
  <c r="E768"/>
  <c r="D768"/>
  <c r="H768" l="1"/>
  <c r="I768" s="1"/>
  <c r="B770"/>
  <c r="F769"/>
  <c r="E769"/>
  <c r="D769"/>
  <c r="G769"/>
  <c r="C769"/>
  <c r="R768"/>
  <c r="R769" l="1"/>
  <c r="J768"/>
  <c r="K768" s="1"/>
  <c r="B771"/>
  <c r="E770"/>
  <c r="D770"/>
  <c r="C770"/>
  <c r="G770"/>
  <c r="F770"/>
  <c r="H769"/>
  <c r="R770" l="1"/>
  <c r="I769"/>
  <c r="J769" s="1"/>
  <c r="K769" s="1"/>
  <c r="I770"/>
  <c r="J770" s="1"/>
  <c r="K770" s="1"/>
  <c r="H770"/>
  <c r="B772"/>
  <c r="D771"/>
  <c r="R771" s="1"/>
  <c r="C771"/>
  <c r="G771"/>
  <c r="F771"/>
  <c r="I771" s="1"/>
  <c r="E771"/>
  <c r="H771" s="1"/>
  <c r="B773" l="1"/>
  <c r="C772"/>
  <c r="G772"/>
  <c r="F772"/>
  <c r="E772"/>
  <c r="D772"/>
  <c r="J771"/>
  <c r="K771" s="1"/>
  <c r="H772" l="1"/>
  <c r="R772"/>
  <c r="B774"/>
  <c r="F773"/>
  <c r="E773"/>
  <c r="H773" s="1"/>
  <c r="D773"/>
  <c r="G773"/>
  <c r="C773"/>
  <c r="R773"/>
  <c r="J773" l="1"/>
  <c r="K773" s="1"/>
  <c r="J772"/>
  <c r="K772" s="1"/>
  <c r="I772"/>
  <c r="B775"/>
  <c r="E774"/>
  <c r="H774" s="1"/>
  <c r="D774"/>
  <c r="C774"/>
  <c r="G774"/>
  <c r="F774"/>
  <c r="I774" s="1"/>
  <c r="J774" s="1"/>
  <c r="K774" s="1"/>
  <c r="R774"/>
  <c r="I773"/>
  <c r="B776" l="1"/>
  <c r="D775"/>
  <c r="C775"/>
  <c r="G775"/>
  <c r="F775"/>
  <c r="I775" s="1"/>
  <c r="J775" s="1"/>
  <c r="K775" s="1"/>
  <c r="E775"/>
  <c r="H775" s="1"/>
  <c r="R775" l="1"/>
  <c r="B777"/>
  <c r="C776"/>
  <c r="G776"/>
  <c r="F776"/>
  <c r="E776"/>
  <c r="D776"/>
  <c r="B778" l="1"/>
  <c r="F777"/>
  <c r="E777"/>
  <c r="D777"/>
  <c r="C777"/>
  <c r="R777" s="1"/>
  <c r="G777"/>
  <c r="H776"/>
  <c r="R776"/>
  <c r="I776"/>
  <c r="B779" l="1"/>
  <c r="E778"/>
  <c r="H778" s="1"/>
  <c r="D778"/>
  <c r="C778"/>
  <c r="G778"/>
  <c r="F778"/>
  <c r="R778"/>
  <c r="H777"/>
  <c r="I777"/>
  <c r="J776"/>
  <c r="K776" s="1"/>
  <c r="B780" l="1"/>
  <c r="D779"/>
  <c r="C779"/>
  <c r="G779"/>
  <c r="F779"/>
  <c r="E779"/>
  <c r="H779" s="1"/>
  <c r="I778"/>
  <c r="J778" s="1"/>
  <c r="K778" s="1"/>
  <c r="J777"/>
  <c r="K777" s="1"/>
  <c r="R779" l="1"/>
  <c r="B781"/>
  <c r="C780"/>
  <c r="G780"/>
  <c r="F780"/>
  <c r="E780"/>
  <c r="D780"/>
  <c r="I779"/>
  <c r="J779" s="1"/>
  <c r="K779" s="1"/>
  <c r="B782" l="1"/>
  <c r="F781"/>
  <c r="E781"/>
  <c r="D781"/>
  <c r="G781"/>
  <c r="C781"/>
  <c r="R781" s="1"/>
  <c r="H780"/>
  <c r="R780"/>
  <c r="I780"/>
  <c r="H781" l="1"/>
  <c r="B783"/>
  <c r="E782"/>
  <c r="D782"/>
  <c r="C782"/>
  <c r="R782" s="1"/>
  <c r="G782"/>
  <c r="F782"/>
  <c r="J780"/>
  <c r="K780" s="1"/>
  <c r="I781" l="1"/>
  <c r="J781" s="1"/>
  <c r="K781" s="1"/>
  <c r="B784"/>
  <c r="D783"/>
  <c r="C783"/>
  <c r="G783"/>
  <c r="F783"/>
  <c r="E783"/>
  <c r="H783" s="1"/>
  <c r="H782"/>
  <c r="I782" s="1"/>
  <c r="J782" s="1"/>
  <c r="K782" s="1"/>
  <c r="R783" l="1"/>
  <c r="B785"/>
  <c r="C784"/>
  <c r="G784"/>
  <c r="F784"/>
  <c r="E784"/>
  <c r="D784"/>
  <c r="I783"/>
  <c r="J783" s="1"/>
  <c r="K783" s="1"/>
  <c r="B786" l="1"/>
  <c r="F785"/>
  <c r="E785"/>
  <c r="D785"/>
  <c r="G785"/>
  <c r="C785"/>
  <c r="R785" s="1"/>
  <c r="H784"/>
  <c r="R784"/>
  <c r="I784"/>
  <c r="B787" l="1"/>
  <c r="E786"/>
  <c r="H786" s="1"/>
  <c r="D786"/>
  <c r="C786"/>
  <c r="G786"/>
  <c r="F786"/>
  <c r="R786"/>
  <c r="H785"/>
  <c r="J784"/>
  <c r="K784" s="1"/>
  <c r="I786" l="1"/>
  <c r="J786" s="1"/>
  <c r="K786" s="1"/>
  <c r="B788"/>
  <c r="D787"/>
  <c r="R787" s="1"/>
  <c r="C787"/>
  <c r="G787"/>
  <c r="F787"/>
  <c r="E787"/>
  <c r="H787" s="1"/>
  <c r="I785"/>
  <c r="J785" s="1"/>
  <c r="K785" s="1"/>
  <c r="B789" l="1"/>
  <c r="C788"/>
  <c r="G788"/>
  <c r="F788"/>
  <c r="E788"/>
  <c r="H788" s="1"/>
  <c r="D788"/>
  <c r="I787"/>
  <c r="J787" s="1"/>
  <c r="K787" s="1"/>
  <c r="R788" l="1"/>
  <c r="B790"/>
  <c r="E789"/>
  <c r="D789"/>
  <c r="C789"/>
  <c r="R789" s="1"/>
  <c r="G789"/>
  <c r="F789"/>
  <c r="I788"/>
  <c r="J788" s="1"/>
  <c r="K788" s="1"/>
  <c r="H789" l="1"/>
  <c r="I789" s="1"/>
  <c r="B791"/>
  <c r="C790"/>
  <c r="G790"/>
  <c r="F790"/>
  <c r="E790"/>
  <c r="D790"/>
  <c r="R790"/>
  <c r="H790" l="1"/>
  <c r="I790" s="1"/>
  <c r="J790" s="1"/>
  <c r="K790" s="1"/>
  <c r="B792"/>
  <c r="F791"/>
  <c r="E791"/>
  <c r="D791"/>
  <c r="G791"/>
  <c r="C791"/>
  <c r="J789"/>
  <c r="K789" s="1"/>
  <c r="R791" l="1"/>
  <c r="B793"/>
  <c r="E792"/>
  <c r="D792"/>
  <c r="C792"/>
  <c r="R792" s="1"/>
  <c r="G792"/>
  <c r="F792"/>
  <c r="H791"/>
  <c r="I791" s="1"/>
  <c r="J791" s="1"/>
  <c r="K791" s="1"/>
  <c r="B794" l="1"/>
  <c r="C793"/>
  <c r="R793" s="1"/>
  <c r="G793"/>
  <c r="F793"/>
  <c r="E793"/>
  <c r="H793" s="1"/>
  <c r="D793"/>
  <c r="H792"/>
  <c r="B795" l="1"/>
  <c r="E794"/>
  <c r="D794"/>
  <c r="C794"/>
  <c r="G794"/>
  <c r="F794"/>
  <c r="I792"/>
  <c r="J792" s="1"/>
  <c r="K792" s="1"/>
  <c r="I793"/>
  <c r="J793" s="1"/>
  <c r="K793" s="1"/>
  <c r="H794" l="1"/>
  <c r="I794" s="1"/>
  <c r="J794" s="1"/>
  <c r="K794" s="1"/>
  <c r="B796"/>
  <c r="D795"/>
  <c r="C795"/>
  <c r="G795"/>
  <c r="F795"/>
  <c r="E795"/>
  <c r="H795" s="1"/>
  <c r="R794"/>
  <c r="I795" l="1"/>
  <c r="J795" s="1"/>
  <c r="K795" s="1"/>
  <c r="R795"/>
  <c r="B797"/>
  <c r="C796"/>
  <c r="G796"/>
  <c r="F796"/>
  <c r="E796"/>
  <c r="D796"/>
  <c r="R796" l="1"/>
  <c r="B798"/>
  <c r="E797"/>
  <c r="D797"/>
  <c r="C797"/>
  <c r="R797" s="1"/>
  <c r="G797"/>
  <c r="F797"/>
  <c r="H796"/>
  <c r="I796" s="1"/>
  <c r="H797" l="1"/>
  <c r="I797" s="1"/>
  <c r="J797" s="1"/>
  <c r="K797" s="1"/>
  <c r="B799"/>
  <c r="C798"/>
  <c r="G798"/>
  <c r="F798"/>
  <c r="E798"/>
  <c r="D798"/>
  <c r="J796"/>
  <c r="K796" s="1"/>
  <c r="B800" l="1"/>
  <c r="F799"/>
  <c r="E799"/>
  <c r="D799"/>
  <c r="G799"/>
  <c r="C799"/>
  <c r="R799" s="1"/>
  <c r="H798"/>
  <c r="R798"/>
  <c r="J798" l="1"/>
  <c r="K798" s="1"/>
  <c r="H799"/>
  <c r="B801"/>
  <c r="E800"/>
  <c r="D800"/>
  <c r="C800"/>
  <c r="G800"/>
  <c r="F800"/>
  <c r="R800"/>
  <c r="I799"/>
  <c r="J799" s="1"/>
  <c r="K799" s="1"/>
  <c r="I798"/>
  <c r="B802" l="1"/>
  <c r="C801"/>
  <c r="R801" s="1"/>
  <c r="G801"/>
  <c r="F801"/>
  <c r="E801"/>
  <c r="H801" s="1"/>
  <c r="D801"/>
  <c r="H800"/>
  <c r="B803" l="1"/>
  <c r="E802"/>
  <c r="D802"/>
  <c r="C802"/>
  <c r="G802"/>
  <c r="F802"/>
  <c r="R802"/>
  <c r="I800"/>
  <c r="J800" s="1"/>
  <c r="K800" s="1"/>
  <c r="I801"/>
  <c r="J801" s="1"/>
  <c r="K801" s="1"/>
  <c r="B804" l="1"/>
  <c r="D803"/>
  <c r="C803"/>
  <c r="G803"/>
  <c r="F803"/>
  <c r="E803"/>
  <c r="H803" s="1"/>
  <c r="R803"/>
  <c r="H802"/>
  <c r="B805" l="1"/>
  <c r="C804"/>
  <c r="G804"/>
  <c r="F804"/>
  <c r="E804"/>
  <c r="H804" s="1"/>
  <c r="D804"/>
  <c r="I803"/>
  <c r="J803" s="1"/>
  <c r="K803" s="1"/>
  <c r="I802"/>
  <c r="J802" s="1"/>
  <c r="K802" s="1"/>
  <c r="R804" l="1"/>
  <c r="B806"/>
  <c r="E805"/>
  <c r="D805"/>
  <c r="C805"/>
  <c r="R805" s="1"/>
  <c r="G805"/>
  <c r="F805"/>
  <c r="I804"/>
  <c r="J804" s="1"/>
  <c r="K804" s="1"/>
  <c r="B807" l="1"/>
  <c r="C806"/>
  <c r="G806"/>
  <c r="F806"/>
  <c r="E806"/>
  <c r="D806"/>
  <c r="H805"/>
  <c r="I805" s="1"/>
  <c r="J805" s="1"/>
  <c r="K805" s="1"/>
  <c r="H806" l="1"/>
  <c r="B808"/>
  <c r="F807"/>
  <c r="E807"/>
  <c r="D807"/>
  <c r="C807"/>
  <c r="G807"/>
  <c r="R806"/>
  <c r="I806"/>
  <c r="J806" s="1"/>
  <c r="K806" s="1"/>
  <c r="R807" l="1"/>
  <c r="B809"/>
  <c r="E808"/>
  <c r="D808"/>
  <c r="C808"/>
  <c r="G808"/>
  <c r="F808"/>
  <c r="H807"/>
  <c r="I807" s="1"/>
  <c r="J807" s="1"/>
  <c r="K807" s="1"/>
  <c r="R808" l="1"/>
  <c r="B810"/>
  <c r="C809"/>
  <c r="R809" s="1"/>
  <c r="G809"/>
  <c r="F809"/>
  <c r="E809"/>
  <c r="H809" s="1"/>
  <c r="D809"/>
  <c r="H808"/>
  <c r="B811" l="1"/>
  <c r="E810"/>
  <c r="D810"/>
  <c r="C810"/>
  <c r="G810"/>
  <c r="F810"/>
  <c r="R810"/>
  <c r="I808"/>
  <c r="J808" s="1"/>
  <c r="K808" s="1"/>
  <c r="I809"/>
  <c r="J809" s="1"/>
  <c r="K809" s="1"/>
  <c r="B812" l="1"/>
  <c r="D811"/>
  <c r="C811"/>
  <c r="G811"/>
  <c r="F811"/>
  <c r="E811"/>
  <c r="H811" s="1"/>
  <c r="R811"/>
  <c r="H810"/>
  <c r="B813" l="1"/>
  <c r="C812"/>
  <c r="R812" s="1"/>
  <c r="G812"/>
  <c r="F812"/>
  <c r="E812"/>
  <c r="H812" s="1"/>
  <c r="D812"/>
  <c r="I811"/>
  <c r="J811" s="1"/>
  <c r="K811" s="1"/>
  <c r="I810"/>
  <c r="J810" s="1"/>
  <c r="K810" s="1"/>
  <c r="B814" l="1"/>
  <c r="E813"/>
  <c r="H813" s="1"/>
  <c r="D813"/>
  <c r="C813"/>
  <c r="G813"/>
  <c r="F813"/>
  <c r="R813"/>
  <c r="I812"/>
  <c r="J812" s="1"/>
  <c r="K812" s="1"/>
  <c r="B815" l="1"/>
  <c r="C814"/>
  <c r="G814"/>
  <c r="F814"/>
  <c r="E814"/>
  <c r="D814"/>
  <c r="I813"/>
  <c r="J813" s="1"/>
  <c r="K813" s="1"/>
  <c r="R814" l="1"/>
  <c r="B816"/>
  <c r="F815"/>
  <c r="E815"/>
  <c r="D815"/>
  <c r="G815"/>
  <c r="C815"/>
  <c r="H814"/>
  <c r="I814" s="1"/>
  <c r="R815" l="1"/>
  <c r="B817"/>
  <c r="E816"/>
  <c r="D816"/>
  <c r="C816"/>
  <c r="R816" s="1"/>
  <c r="G816"/>
  <c r="F816"/>
  <c r="H815"/>
  <c r="I815" s="1"/>
  <c r="J815" s="1"/>
  <c r="K815" s="1"/>
  <c r="J814"/>
  <c r="K814" s="1"/>
  <c r="H816" l="1"/>
  <c r="I816" s="1"/>
  <c r="J816" s="1"/>
  <c r="K816" s="1"/>
  <c r="B818"/>
  <c r="C817"/>
  <c r="R817" s="1"/>
  <c r="G817"/>
  <c r="F817"/>
  <c r="E817"/>
  <c r="H817" s="1"/>
  <c r="D817"/>
  <c r="B819" l="1"/>
  <c r="E818"/>
  <c r="D818"/>
  <c r="C818"/>
  <c r="G818"/>
  <c r="F818"/>
  <c r="R818"/>
  <c r="I817"/>
  <c r="J817" s="1"/>
  <c r="K817" s="1"/>
  <c r="B820" l="1"/>
  <c r="D819"/>
  <c r="C819"/>
  <c r="G819"/>
  <c r="F819"/>
  <c r="I819" s="1"/>
  <c r="J819" s="1"/>
  <c r="K819" s="1"/>
  <c r="E819"/>
  <c r="H819" s="1"/>
  <c r="H818"/>
  <c r="R819" l="1"/>
  <c r="B821"/>
  <c r="C820"/>
  <c r="R820" s="1"/>
  <c r="G820"/>
  <c r="F820"/>
  <c r="E820"/>
  <c r="H820" s="1"/>
  <c r="D820"/>
  <c r="I818"/>
  <c r="J818" s="1"/>
  <c r="K818" s="1"/>
  <c r="B822" l="1"/>
  <c r="E821"/>
  <c r="H821" s="1"/>
  <c r="D821"/>
  <c r="C821"/>
  <c r="G821"/>
  <c r="F821"/>
  <c r="R821"/>
  <c r="I820"/>
  <c r="J820" s="1"/>
  <c r="K820" s="1"/>
  <c r="B823" l="1"/>
  <c r="C822"/>
  <c r="G822"/>
  <c r="F822"/>
  <c r="E822"/>
  <c r="D822"/>
  <c r="I821"/>
  <c r="J821" s="1"/>
  <c r="K821" s="1"/>
  <c r="B824" l="1"/>
  <c r="F823"/>
  <c r="E823"/>
  <c r="D823"/>
  <c r="G823"/>
  <c r="C823"/>
  <c r="R823" s="1"/>
  <c r="H822"/>
  <c r="I822" s="1"/>
  <c r="R822"/>
  <c r="H823" l="1"/>
  <c r="I823" s="1"/>
  <c r="J823" s="1"/>
  <c r="K823" s="1"/>
  <c r="B825"/>
  <c r="E824"/>
  <c r="D824"/>
  <c r="C824"/>
  <c r="R824" s="1"/>
  <c r="G824"/>
  <c r="F824"/>
  <c r="J822"/>
  <c r="K822" s="1"/>
  <c r="B826" l="1"/>
  <c r="C825"/>
  <c r="R825" s="1"/>
  <c r="G825"/>
  <c r="F825"/>
  <c r="E825"/>
  <c r="H825" s="1"/>
  <c r="D825"/>
  <c r="H824"/>
  <c r="B827" l="1"/>
  <c r="E826"/>
  <c r="D826"/>
  <c r="C826"/>
  <c r="G826"/>
  <c r="F826"/>
  <c r="I824"/>
  <c r="J824" s="1"/>
  <c r="K824" s="1"/>
  <c r="I825"/>
  <c r="J825" s="1"/>
  <c r="K825" s="1"/>
  <c r="H826" l="1"/>
  <c r="I826" s="1"/>
  <c r="B828"/>
  <c r="D827"/>
  <c r="R827" s="1"/>
  <c r="C827"/>
  <c r="G827"/>
  <c r="F827"/>
  <c r="E827"/>
  <c r="R826"/>
  <c r="J826" l="1"/>
  <c r="K826" s="1"/>
  <c r="B829"/>
  <c r="C828"/>
  <c r="R828" s="1"/>
  <c r="G828"/>
  <c r="F828"/>
  <c r="E828"/>
  <c r="H828" s="1"/>
  <c r="D828"/>
  <c r="H827"/>
  <c r="I827" s="1"/>
  <c r="J827" s="1"/>
  <c r="K827" s="1"/>
  <c r="B830" l="1"/>
  <c r="E829"/>
  <c r="D829"/>
  <c r="C829"/>
  <c r="G829"/>
  <c r="F829"/>
  <c r="I828"/>
  <c r="J828" s="1"/>
  <c r="K828" s="1"/>
  <c r="R829" l="1"/>
  <c r="B831"/>
  <c r="C830"/>
  <c r="G830"/>
  <c r="F830"/>
  <c r="E830"/>
  <c r="D830"/>
  <c r="H829"/>
  <c r="I829" s="1"/>
  <c r="J829" s="1"/>
  <c r="K829" s="1"/>
  <c r="B832" l="1"/>
  <c r="F831"/>
  <c r="E831"/>
  <c r="D831"/>
  <c r="G831"/>
  <c r="C831"/>
  <c r="R831" s="1"/>
  <c r="H830"/>
  <c r="R830"/>
  <c r="I830"/>
  <c r="H831" l="1"/>
  <c r="I831" s="1"/>
  <c r="J831" s="1"/>
  <c r="K831" s="1"/>
  <c r="B833"/>
  <c r="E832"/>
  <c r="D832"/>
  <c r="C832"/>
  <c r="R832" s="1"/>
  <c r="G832"/>
  <c r="F832"/>
  <c r="J830"/>
  <c r="K830" s="1"/>
  <c r="B834" l="1"/>
  <c r="C833"/>
  <c r="R833" s="1"/>
  <c r="G833"/>
  <c r="F833"/>
  <c r="E833"/>
  <c r="H833" s="1"/>
  <c r="D833"/>
  <c r="H832"/>
  <c r="B835" l="1"/>
  <c r="E834"/>
  <c r="D834"/>
  <c r="C834"/>
  <c r="G834"/>
  <c r="F834"/>
  <c r="R834"/>
  <c r="I832"/>
  <c r="J832" s="1"/>
  <c r="K832" s="1"/>
  <c r="I833"/>
  <c r="J833" s="1"/>
  <c r="K833" s="1"/>
  <c r="B836" l="1"/>
  <c r="D835"/>
  <c r="R835" s="1"/>
  <c r="C835"/>
  <c r="G835"/>
  <c r="F835"/>
  <c r="E835"/>
  <c r="H835" s="1"/>
  <c r="H834"/>
  <c r="B837" l="1"/>
  <c r="C836"/>
  <c r="G836"/>
  <c r="F836"/>
  <c r="E836"/>
  <c r="H836" s="1"/>
  <c r="D836"/>
  <c r="I835"/>
  <c r="J835" s="1"/>
  <c r="K835" s="1"/>
  <c r="I834"/>
  <c r="J834" s="1"/>
  <c r="K834" s="1"/>
  <c r="R836" l="1"/>
  <c r="B838"/>
  <c r="E837"/>
  <c r="D837"/>
  <c r="C837"/>
  <c r="R837" s="1"/>
  <c r="G837"/>
  <c r="F837"/>
  <c r="I836"/>
  <c r="J836" s="1"/>
  <c r="K836" s="1"/>
  <c r="H837" l="1"/>
  <c r="I837" s="1"/>
  <c r="J837" s="1"/>
  <c r="K837" s="1"/>
  <c r="B839"/>
  <c r="C838"/>
  <c r="G838"/>
  <c r="F838"/>
  <c r="E838"/>
  <c r="D838"/>
  <c r="B840" l="1"/>
  <c r="F839"/>
  <c r="E839"/>
  <c r="D839"/>
  <c r="C839"/>
  <c r="R839" s="1"/>
  <c r="G839"/>
  <c r="H838"/>
  <c r="I838" s="1"/>
  <c r="R838"/>
  <c r="I839" l="1"/>
  <c r="J839" s="1"/>
  <c r="K839" s="1"/>
  <c r="H839"/>
  <c r="B841"/>
  <c r="E840"/>
  <c r="D840"/>
  <c r="C840"/>
  <c r="G840"/>
  <c r="F840"/>
  <c r="R840"/>
  <c r="J838"/>
  <c r="K838" s="1"/>
  <c r="B842" l="1"/>
  <c r="C841"/>
  <c r="R841" s="1"/>
  <c r="G841"/>
  <c r="F841"/>
  <c r="E841"/>
  <c r="H841" s="1"/>
  <c r="D841"/>
  <c r="H840"/>
  <c r="B843" l="1"/>
  <c r="E842"/>
  <c r="D842"/>
  <c r="C842"/>
  <c r="G842"/>
  <c r="F842"/>
  <c r="R842"/>
  <c r="I840"/>
  <c r="J840" s="1"/>
  <c r="K840" s="1"/>
  <c r="I841"/>
  <c r="J841" s="1"/>
  <c r="K841" s="1"/>
  <c r="B844" l="1"/>
  <c r="D843"/>
  <c r="C843"/>
  <c r="G843"/>
  <c r="F843"/>
  <c r="I843" s="1"/>
  <c r="J843" s="1"/>
  <c r="K843" s="1"/>
  <c r="E843"/>
  <c r="H843" s="1"/>
  <c r="H842"/>
  <c r="R843" l="1"/>
  <c r="B845"/>
  <c r="C844"/>
  <c r="R844" s="1"/>
  <c r="G844"/>
  <c r="F844"/>
  <c r="E844"/>
  <c r="H844" s="1"/>
  <c r="D844"/>
  <c r="I842"/>
  <c r="J842" s="1"/>
  <c r="K842" s="1"/>
  <c r="B846" l="1"/>
  <c r="E845"/>
  <c r="H845" s="1"/>
  <c r="D845"/>
  <c r="C845"/>
  <c r="G845"/>
  <c r="F845"/>
  <c r="R845"/>
  <c r="I844"/>
  <c r="J844" s="1"/>
  <c r="K844" s="1"/>
  <c r="B847" l="1"/>
  <c r="C846"/>
  <c r="G846"/>
  <c r="F846"/>
  <c r="E846"/>
  <c r="D846"/>
  <c r="I845"/>
  <c r="J845" s="1"/>
  <c r="K845" s="1"/>
  <c r="B848" l="1"/>
  <c r="F847"/>
  <c r="E847"/>
  <c r="D847"/>
  <c r="G847"/>
  <c r="C847"/>
  <c r="R847" s="1"/>
  <c r="H846"/>
  <c r="R846"/>
  <c r="B849" l="1"/>
  <c r="E848"/>
  <c r="H848" s="1"/>
  <c r="D848"/>
  <c r="C848"/>
  <c r="G848"/>
  <c r="F848"/>
  <c r="R848"/>
  <c r="H847"/>
  <c r="I847" s="1"/>
  <c r="J847" s="1"/>
  <c r="K847" s="1"/>
  <c r="I846"/>
  <c r="J846" s="1"/>
  <c r="K846" s="1"/>
  <c r="B850" l="1"/>
  <c r="C849"/>
  <c r="R849" s="1"/>
  <c r="G849"/>
  <c r="F849"/>
  <c r="E849"/>
  <c r="D849"/>
  <c r="I848"/>
  <c r="J848" s="1"/>
  <c r="K848" s="1"/>
  <c r="B851" l="1"/>
  <c r="E850"/>
  <c r="D850"/>
  <c r="C850"/>
  <c r="G850"/>
  <c r="F850"/>
  <c r="R850"/>
  <c r="H849"/>
  <c r="I849" s="1"/>
  <c r="J849" s="1"/>
  <c r="K849" s="1"/>
  <c r="B852" l="1"/>
  <c r="D851"/>
  <c r="C851"/>
  <c r="G851"/>
  <c r="F851"/>
  <c r="E851"/>
  <c r="H851" s="1"/>
  <c r="H850"/>
  <c r="I851" l="1"/>
  <c r="J851" s="1"/>
  <c r="K851" s="1"/>
  <c r="R851"/>
  <c r="B853"/>
  <c r="C852"/>
  <c r="G852"/>
  <c r="F852"/>
  <c r="E852"/>
  <c r="H852" s="1"/>
  <c r="D852"/>
  <c r="I850"/>
  <c r="J850" s="1"/>
  <c r="K850" s="1"/>
  <c r="R852" l="1"/>
  <c r="B854"/>
  <c r="E853"/>
  <c r="D853"/>
  <c r="C853"/>
  <c r="R853" s="1"/>
  <c r="G853"/>
  <c r="F853"/>
  <c r="I852"/>
  <c r="J852" s="1"/>
  <c r="K852" s="1"/>
  <c r="H853" l="1"/>
  <c r="I853" s="1"/>
  <c r="J853" s="1"/>
  <c r="K853" s="1"/>
  <c r="B855"/>
  <c r="C854"/>
  <c r="G854"/>
  <c r="F854"/>
  <c r="E854"/>
  <c r="D854"/>
  <c r="B856" l="1"/>
  <c r="F855"/>
  <c r="E855"/>
  <c r="D855"/>
  <c r="G855"/>
  <c r="C855"/>
  <c r="R855" s="1"/>
  <c r="H854"/>
  <c r="R854"/>
  <c r="I854"/>
  <c r="B857" l="1"/>
  <c r="E856"/>
  <c r="H856" s="1"/>
  <c r="D856"/>
  <c r="C856"/>
  <c r="G856"/>
  <c r="F856"/>
  <c r="R856"/>
  <c r="H855"/>
  <c r="I855" s="1"/>
  <c r="J855" s="1"/>
  <c r="K855" s="1"/>
  <c r="J854"/>
  <c r="K854" s="1"/>
  <c r="B858" l="1"/>
  <c r="C857"/>
  <c r="R857" s="1"/>
  <c r="G857"/>
  <c r="F857"/>
  <c r="E857"/>
  <c r="H857" s="1"/>
  <c r="D857"/>
  <c r="I856"/>
  <c r="J856" s="1"/>
  <c r="K856" s="1"/>
  <c r="B859" l="1"/>
  <c r="E858"/>
  <c r="D858"/>
  <c r="C858"/>
  <c r="G858"/>
  <c r="F858"/>
  <c r="R858"/>
  <c r="I857"/>
  <c r="J857" s="1"/>
  <c r="K857" s="1"/>
  <c r="B860" l="1"/>
  <c r="D859"/>
  <c r="C859"/>
  <c r="G859"/>
  <c r="F859"/>
  <c r="I859" s="1"/>
  <c r="J859" s="1"/>
  <c r="K859" s="1"/>
  <c r="E859"/>
  <c r="H859" s="1"/>
  <c r="H858"/>
  <c r="R859" l="1"/>
  <c r="B861"/>
  <c r="C860"/>
  <c r="R860" s="1"/>
  <c r="G860"/>
  <c r="F860"/>
  <c r="E860"/>
  <c r="H860" s="1"/>
  <c r="D860"/>
  <c r="I858"/>
  <c r="J858" s="1"/>
  <c r="K858" s="1"/>
  <c r="B862" l="1"/>
  <c r="E861"/>
  <c r="H861" s="1"/>
  <c r="D861"/>
  <c r="C861"/>
  <c r="G861"/>
  <c r="F861"/>
  <c r="R861"/>
  <c r="I860"/>
  <c r="J860" s="1"/>
  <c r="K860" s="1"/>
  <c r="B863" l="1"/>
  <c r="C862"/>
  <c r="G862"/>
  <c r="F862"/>
  <c r="E862"/>
  <c r="D862"/>
  <c r="I861"/>
  <c r="J861" s="1"/>
  <c r="K861" s="1"/>
  <c r="H862" l="1"/>
  <c r="R862"/>
  <c r="B864"/>
  <c r="F863"/>
  <c r="E863"/>
  <c r="H863" s="1"/>
  <c r="D863"/>
  <c r="G863"/>
  <c r="C863"/>
  <c r="R863"/>
  <c r="B865" l="1"/>
  <c r="E864"/>
  <c r="H864" s="1"/>
  <c r="D864"/>
  <c r="C864"/>
  <c r="G864"/>
  <c r="F864"/>
  <c r="R864"/>
  <c r="I862"/>
  <c r="J862" s="1"/>
  <c r="K862" s="1"/>
  <c r="I863"/>
  <c r="J863" s="1"/>
  <c r="K863" s="1"/>
  <c r="B866" l="1"/>
  <c r="C865"/>
  <c r="R865" s="1"/>
  <c r="G865"/>
  <c r="F865"/>
  <c r="E865"/>
  <c r="H865" s="1"/>
  <c r="D865"/>
  <c r="I864"/>
  <c r="J864" s="1"/>
  <c r="K864" s="1"/>
  <c r="B867" l="1"/>
  <c r="E866"/>
  <c r="D866"/>
  <c r="C866"/>
  <c r="G866"/>
  <c r="F866"/>
  <c r="R866"/>
  <c r="I865"/>
  <c r="J865" s="1"/>
  <c r="K865" s="1"/>
  <c r="B868" l="1"/>
  <c r="D867"/>
  <c r="R867" s="1"/>
  <c r="C867"/>
  <c r="G867"/>
  <c r="F867"/>
  <c r="E867"/>
  <c r="H867" s="1"/>
  <c r="H866"/>
  <c r="B869" l="1"/>
  <c r="C868"/>
  <c r="G868"/>
  <c r="F868"/>
  <c r="E868"/>
  <c r="H868" s="1"/>
  <c r="D868"/>
  <c r="I867"/>
  <c r="J867" s="1"/>
  <c r="K867" s="1"/>
  <c r="I866"/>
  <c r="J866" s="1"/>
  <c r="K866" s="1"/>
  <c r="R868" l="1"/>
  <c r="B870"/>
  <c r="E869"/>
  <c r="D869"/>
  <c r="C869"/>
  <c r="R869" s="1"/>
  <c r="G869"/>
  <c r="F869"/>
  <c r="I868"/>
  <c r="J868" s="1"/>
  <c r="K868" s="1"/>
  <c r="B871" l="1"/>
  <c r="C870"/>
  <c r="G870"/>
  <c r="F870"/>
  <c r="E870"/>
  <c r="D870"/>
  <c r="H869"/>
  <c r="B872" l="1"/>
  <c r="F871"/>
  <c r="E871"/>
  <c r="D871"/>
  <c r="C871"/>
  <c r="R871" s="1"/>
  <c r="G871"/>
  <c r="H870"/>
  <c r="R870"/>
  <c r="I869"/>
  <c r="J869" s="1"/>
  <c r="K869" s="1"/>
  <c r="B873" l="1"/>
  <c r="E872"/>
  <c r="D872"/>
  <c r="C872"/>
  <c r="G872"/>
  <c r="F872"/>
  <c r="H871"/>
  <c r="I871" s="1"/>
  <c r="J871" s="1"/>
  <c r="K871" s="1"/>
  <c r="I870"/>
  <c r="J870" s="1"/>
  <c r="K870" s="1"/>
  <c r="R872" l="1"/>
  <c r="B874"/>
  <c r="C873"/>
  <c r="R873" s="1"/>
  <c r="G873"/>
  <c r="F873"/>
  <c r="E873"/>
  <c r="H873" s="1"/>
  <c r="D873"/>
  <c r="H872"/>
  <c r="B875" l="1"/>
  <c r="E874"/>
  <c r="D874"/>
  <c r="C874"/>
  <c r="G874"/>
  <c r="F874"/>
  <c r="R874"/>
  <c r="I872"/>
  <c r="J872" s="1"/>
  <c r="K872" s="1"/>
  <c r="I873"/>
  <c r="J873" s="1"/>
  <c r="K873" s="1"/>
  <c r="B876" l="1"/>
  <c r="D875"/>
  <c r="C875"/>
  <c r="G875"/>
  <c r="F875"/>
  <c r="I875" s="1"/>
  <c r="J875" s="1"/>
  <c r="K875" s="1"/>
  <c r="E875"/>
  <c r="H875" s="1"/>
  <c r="H874"/>
  <c r="R875" l="1"/>
  <c r="B877"/>
  <c r="C876"/>
  <c r="R876" s="1"/>
  <c r="G876"/>
  <c r="F876"/>
  <c r="E876"/>
  <c r="H876" s="1"/>
  <c r="D876"/>
  <c r="I874"/>
  <c r="J874" s="1"/>
  <c r="K874" s="1"/>
  <c r="B878" l="1"/>
  <c r="E877"/>
  <c r="H877" s="1"/>
  <c r="D877"/>
  <c r="C877"/>
  <c r="G877"/>
  <c r="F877"/>
  <c r="R877"/>
  <c r="I876"/>
  <c r="J876" s="1"/>
  <c r="K876" s="1"/>
  <c r="B879" l="1"/>
  <c r="C878"/>
  <c r="G878"/>
  <c r="F878"/>
  <c r="E878"/>
  <c r="D878"/>
  <c r="I877"/>
  <c r="J877" s="1"/>
  <c r="K877" s="1"/>
  <c r="H878" l="1"/>
  <c r="B880"/>
  <c r="F879"/>
  <c r="E879"/>
  <c r="D879"/>
  <c r="G879"/>
  <c r="C879"/>
  <c r="R878"/>
  <c r="R879" l="1"/>
  <c r="J878"/>
  <c r="K878" s="1"/>
  <c r="I878"/>
  <c r="B881"/>
  <c r="E880"/>
  <c r="D880"/>
  <c r="C880"/>
  <c r="G880"/>
  <c r="F880"/>
  <c r="R880"/>
  <c r="I879"/>
  <c r="J879" s="1"/>
  <c r="K879" s="1"/>
  <c r="H879"/>
  <c r="B882" l="1"/>
  <c r="C881"/>
  <c r="R881" s="1"/>
  <c r="G881"/>
  <c r="F881"/>
  <c r="E881"/>
  <c r="H881" s="1"/>
  <c r="D881"/>
  <c r="H880"/>
  <c r="B883" l="1"/>
  <c r="E882"/>
  <c r="D882"/>
  <c r="C882"/>
  <c r="G882"/>
  <c r="F882"/>
  <c r="R882"/>
  <c r="I880"/>
  <c r="J880" s="1"/>
  <c r="K880" s="1"/>
  <c r="I881"/>
  <c r="J881" s="1"/>
  <c r="K881" s="1"/>
  <c r="B884" l="1"/>
  <c r="D883"/>
  <c r="C883"/>
  <c r="G883"/>
  <c r="F883"/>
  <c r="I883" s="1"/>
  <c r="J883" s="1"/>
  <c r="K883" s="1"/>
  <c r="E883"/>
  <c r="H883" s="1"/>
  <c r="H882"/>
  <c r="R883" l="1"/>
  <c r="B885"/>
  <c r="C884"/>
  <c r="R884" s="1"/>
  <c r="G884"/>
  <c r="F884"/>
  <c r="E884"/>
  <c r="H884" s="1"/>
  <c r="D884"/>
  <c r="I882"/>
  <c r="J882" s="1"/>
  <c r="K882" s="1"/>
  <c r="B886" l="1"/>
  <c r="E885"/>
  <c r="H885" s="1"/>
  <c r="D885"/>
  <c r="C885"/>
  <c r="G885"/>
  <c r="F885"/>
  <c r="R885"/>
  <c r="I884"/>
  <c r="J884" s="1"/>
  <c r="K884" s="1"/>
  <c r="B887" l="1"/>
  <c r="C886"/>
  <c r="G886"/>
  <c r="F886"/>
  <c r="E886"/>
  <c r="D886"/>
  <c r="I885"/>
  <c r="J885" s="1"/>
  <c r="K885" s="1"/>
  <c r="B888" l="1"/>
  <c r="F887"/>
  <c r="E887"/>
  <c r="D887"/>
  <c r="G887"/>
  <c r="C887"/>
  <c r="R887" s="1"/>
  <c r="H886"/>
  <c r="R886"/>
  <c r="B889" l="1"/>
  <c r="E888"/>
  <c r="H888" s="1"/>
  <c r="D888"/>
  <c r="C888"/>
  <c r="G888"/>
  <c r="F888"/>
  <c r="R888"/>
  <c r="H887"/>
  <c r="I887" s="1"/>
  <c r="J887" s="1"/>
  <c r="K887" s="1"/>
  <c r="I886"/>
  <c r="J886" s="1"/>
  <c r="K886" s="1"/>
  <c r="B890" l="1"/>
  <c r="C889"/>
  <c r="G889"/>
  <c r="F889"/>
  <c r="E889"/>
  <c r="H889" s="1"/>
  <c r="D889"/>
  <c r="I888"/>
  <c r="J888" s="1"/>
  <c r="K888" s="1"/>
  <c r="R889" l="1"/>
  <c r="I889"/>
  <c r="J889" s="1"/>
  <c r="K889" s="1"/>
  <c r="B891"/>
  <c r="E890"/>
  <c r="D890"/>
  <c r="C890"/>
  <c r="G890"/>
  <c r="F890"/>
  <c r="R890" l="1"/>
  <c r="B892"/>
  <c r="D891"/>
  <c r="C891"/>
  <c r="G891"/>
  <c r="F891"/>
  <c r="E891"/>
  <c r="H891" s="1"/>
  <c r="R891"/>
  <c r="H890"/>
  <c r="B893" l="1"/>
  <c r="C892"/>
  <c r="G892"/>
  <c r="F892"/>
  <c r="E892"/>
  <c r="H892" s="1"/>
  <c r="D892"/>
  <c r="I891"/>
  <c r="J891" s="1"/>
  <c r="K891" s="1"/>
  <c r="I890"/>
  <c r="J890" s="1"/>
  <c r="K890" s="1"/>
  <c r="R892" l="1"/>
  <c r="B894"/>
  <c r="E893"/>
  <c r="D893"/>
  <c r="C893"/>
  <c r="R893" s="1"/>
  <c r="G893"/>
  <c r="F893"/>
  <c r="I892"/>
  <c r="J892" s="1"/>
  <c r="K892" s="1"/>
  <c r="H893" l="1"/>
  <c r="I893" s="1"/>
  <c r="J893" s="1"/>
  <c r="K893" s="1"/>
  <c r="B895"/>
  <c r="C894"/>
  <c r="G894"/>
  <c r="F894"/>
  <c r="E894"/>
  <c r="D894"/>
  <c r="B896" l="1"/>
  <c r="F895"/>
  <c r="E895"/>
  <c r="D895"/>
  <c r="G895"/>
  <c r="C895"/>
  <c r="R895" s="1"/>
  <c r="H894"/>
  <c r="R894"/>
  <c r="I895" l="1"/>
  <c r="J895" s="1"/>
  <c r="K895" s="1"/>
  <c r="H895"/>
  <c r="B897"/>
  <c r="E896"/>
  <c r="D896"/>
  <c r="C896"/>
  <c r="G896"/>
  <c r="F896"/>
  <c r="R896"/>
  <c r="J894"/>
  <c r="K894" s="1"/>
  <c r="I894"/>
  <c r="B898" l="1"/>
  <c r="C897"/>
  <c r="R897" s="1"/>
  <c r="G897"/>
  <c r="F897"/>
  <c r="E897"/>
  <c r="D897"/>
  <c r="H896"/>
  <c r="B899" l="1"/>
  <c r="E898"/>
  <c r="D898"/>
  <c r="C898"/>
  <c r="G898"/>
  <c r="F898"/>
  <c r="R898"/>
  <c r="H897"/>
  <c r="I897" s="1"/>
  <c r="J897" s="1"/>
  <c r="K897" s="1"/>
  <c r="I896"/>
  <c r="J896" s="1"/>
  <c r="K896" s="1"/>
  <c r="B900" l="1"/>
  <c r="D899"/>
  <c r="R899" s="1"/>
  <c r="C899"/>
  <c r="G899"/>
  <c r="F899"/>
  <c r="E899"/>
  <c r="H899" s="1"/>
  <c r="H898"/>
  <c r="I898" s="1"/>
  <c r="B901" l="1"/>
  <c r="C900"/>
  <c r="R900" s="1"/>
  <c r="G900"/>
  <c r="F900"/>
  <c r="E900"/>
  <c r="H900" s="1"/>
  <c r="D900"/>
  <c r="J898"/>
  <c r="K898" s="1"/>
  <c r="I899"/>
  <c r="J899" s="1"/>
  <c r="K899" s="1"/>
  <c r="B902" l="1"/>
  <c r="E901"/>
  <c r="H901" s="1"/>
  <c r="D901"/>
  <c r="C901"/>
  <c r="G901"/>
  <c r="F901"/>
  <c r="R901"/>
  <c r="I900"/>
  <c r="J900" s="1"/>
  <c r="K900" s="1"/>
  <c r="I901" l="1"/>
  <c r="J901" s="1"/>
  <c r="K901" s="1"/>
  <c r="B903"/>
  <c r="C902"/>
  <c r="G902"/>
  <c r="F902"/>
  <c r="E902"/>
  <c r="D902"/>
  <c r="B904" l="1"/>
  <c r="F903"/>
  <c r="E903"/>
  <c r="D903"/>
  <c r="C903"/>
  <c r="R903" s="1"/>
  <c r="G903"/>
  <c r="H902"/>
  <c r="R902"/>
  <c r="J902" l="1"/>
  <c r="K902" s="1"/>
  <c r="I902"/>
  <c r="B905"/>
  <c r="E904"/>
  <c r="D904"/>
  <c r="C904"/>
  <c r="G904"/>
  <c r="F904"/>
  <c r="R904"/>
  <c r="H903"/>
  <c r="I903" s="1"/>
  <c r="J903" s="1"/>
  <c r="K903" s="1"/>
  <c r="I904" l="1"/>
  <c r="J904" s="1"/>
  <c r="K904" s="1"/>
  <c r="H904"/>
  <c r="B906"/>
  <c r="C905"/>
  <c r="G905"/>
  <c r="F905"/>
  <c r="E905"/>
  <c r="H905" s="1"/>
  <c r="D905"/>
  <c r="R905" l="1"/>
  <c r="B907"/>
  <c r="E906"/>
  <c r="D906"/>
  <c r="C906"/>
  <c r="H906" s="1"/>
  <c r="G906"/>
  <c r="F906"/>
  <c r="I905"/>
  <c r="J905" s="1"/>
  <c r="K905" s="1"/>
  <c r="I906" l="1"/>
  <c r="J906" s="1"/>
  <c r="K906" s="1"/>
  <c r="B908"/>
  <c r="D907"/>
  <c r="C907"/>
  <c r="G907"/>
  <c r="F907"/>
  <c r="E907"/>
  <c r="R906"/>
  <c r="R907" l="1"/>
  <c r="B909"/>
  <c r="C908"/>
  <c r="R908" s="1"/>
  <c r="G908"/>
  <c r="F908"/>
  <c r="E908"/>
  <c r="H908" s="1"/>
  <c r="D908"/>
  <c r="H907"/>
  <c r="I907" s="1"/>
  <c r="J907" s="1"/>
  <c r="K907" s="1"/>
  <c r="B910" l="1"/>
  <c r="E909"/>
  <c r="H909" s="1"/>
  <c r="D909"/>
  <c r="C909"/>
  <c r="G909"/>
  <c r="F909"/>
  <c r="R909"/>
  <c r="I908"/>
  <c r="J908" s="1"/>
  <c r="K908" s="1"/>
  <c r="B911" l="1"/>
  <c r="C910"/>
  <c r="G910"/>
  <c r="F910"/>
  <c r="E910"/>
  <c r="D910"/>
  <c r="I909"/>
  <c r="J909" s="1"/>
  <c r="K909" s="1"/>
  <c r="B912" l="1"/>
  <c r="F911"/>
  <c r="E911"/>
  <c r="D911"/>
  <c r="G911"/>
  <c r="C911"/>
  <c r="R911" s="1"/>
  <c r="H910"/>
  <c r="R910"/>
  <c r="I910"/>
  <c r="B913" l="1"/>
  <c r="E912"/>
  <c r="H912" s="1"/>
  <c r="D912"/>
  <c r="C912"/>
  <c r="G912"/>
  <c r="F912"/>
  <c r="R912"/>
  <c r="H911"/>
  <c r="I911" s="1"/>
  <c r="J911" s="1"/>
  <c r="K911" s="1"/>
  <c r="J910"/>
  <c r="K910" s="1"/>
  <c r="B914" l="1"/>
  <c r="C913"/>
  <c r="R913" s="1"/>
  <c r="G913"/>
  <c r="F913"/>
  <c r="E913"/>
  <c r="H913" s="1"/>
  <c r="D913"/>
  <c r="I912"/>
  <c r="J912" s="1"/>
  <c r="K912" s="1"/>
  <c r="B915" l="1"/>
  <c r="E914"/>
  <c r="D914"/>
  <c r="C914"/>
  <c r="G914"/>
  <c r="F914"/>
  <c r="R914"/>
  <c r="I913"/>
  <c r="J913" s="1"/>
  <c r="K913" s="1"/>
  <c r="B916" l="1"/>
  <c r="D915"/>
  <c r="R915" s="1"/>
  <c r="C915"/>
  <c r="G915"/>
  <c r="F915"/>
  <c r="I915" s="1"/>
  <c r="J915" s="1"/>
  <c r="K915" s="1"/>
  <c r="E915"/>
  <c r="H915" s="1"/>
  <c r="H914"/>
  <c r="B917" l="1"/>
  <c r="C916"/>
  <c r="R916" s="1"/>
  <c r="G916"/>
  <c r="F916"/>
  <c r="E916"/>
  <c r="H916" s="1"/>
  <c r="D916"/>
  <c r="I914"/>
  <c r="J914" s="1"/>
  <c r="K914" s="1"/>
  <c r="B918" l="1"/>
  <c r="E917"/>
  <c r="H917" s="1"/>
  <c r="D917"/>
  <c r="C917"/>
  <c r="G917"/>
  <c r="F917"/>
  <c r="R917"/>
  <c r="I916"/>
  <c r="J916" s="1"/>
  <c r="K916" s="1"/>
  <c r="I917" l="1"/>
  <c r="J917" s="1"/>
  <c r="K917" s="1"/>
  <c r="B919"/>
  <c r="C918"/>
  <c r="G918"/>
  <c r="F918"/>
  <c r="E918"/>
  <c r="D918"/>
  <c r="B920" l="1"/>
  <c r="F919"/>
  <c r="E919"/>
  <c r="D919"/>
  <c r="G919"/>
  <c r="C919"/>
  <c r="R919" s="1"/>
  <c r="H918"/>
  <c r="R918"/>
  <c r="B921" l="1"/>
  <c r="E920"/>
  <c r="H920" s="1"/>
  <c r="D920"/>
  <c r="C920"/>
  <c r="G920"/>
  <c r="F920"/>
  <c r="R920"/>
  <c r="H919"/>
  <c r="I919" s="1"/>
  <c r="J919" s="1"/>
  <c r="K919" s="1"/>
  <c r="I918"/>
  <c r="J918" s="1"/>
  <c r="K918" s="1"/>
  <c r="I920" l="1"/>
  <c r="J920" s="1"/>
  <c r="K920" s="1"/>
  <c r="B922"/>
  <c r="C921"/>
  <c r="G921"/>
  <c r="F921"/>
  <c r="E921"/>
  <c r="H921" s="1"/>
  <c r="D921"/>
  <c r="R921" l="1"/>
  <c r="I921"/>
  <c r="J921" s="1"/>
  <c r="K921" s="1"/>
  <c r="B923"/>
  <c r="E922"/>
  <c r="D922"/>
  <c r="C922"/>
  <c r="H922" s="1"/>
  <c r="G922"/>
  <c r="F922"/>
  <c r="B924" l="1"/>
  <c r="D923"/>
  <c r="R923" s="1"/>
  <c r="C923"/>
  <c r="G923"/>
  <c r="F923"/>
  <c r="I923" s="1"/>
  <c r="J923" s="1"/>
  <c r="K923" s="1"/>
  <c r="E923"/>
  <c r="H923" s="1"/>
  <c r="I922"/>
  <c r="J922" s="1"/>
  <c r="K922" s="1"/>
  <c r="R922"/>
  <c r="B925" l="1"/>
  <c r="C924"/>
  <c r="G924"/>
  <c r="F924"/>
  <c r="E924"/>
  <c r="H924" s="1"/>
  <c r="D924"/>
  <c r="R924" l="1"/>
  <c r="B926"/>
  <c r="E925"/>
  <c r="D925"/>
  <c r="C925"/>
  <c r="R925" s="1"/>
  <c r="G925"/>
  <c r="F925"/>
  <c r="I924"/>
  <c r="J924" s="1"/>
  <c r="K924" s="1"/>
  <c r="H925" l="1"/>
  <c r="I925" s="1"/>
  <c r="J925" s="1"/>
  <c r="K925" s="1"/>
  <c r="B927"/>
  <c r="C926"/>
  <c r="G926"/>
  <c r="F926"/>
  <c r="E926"/>
  <c r="D926"/>
  <c r="B928" l="1"/>
  <c r="F927"/>
  <c r="E927"/>
  <c r="D927"/>
  <c r="G927"/>
  <c r="C927"/>
  <c r="R927" s="1"/>
  <c r="H926"/>
  <c r="R926"/>
  <c r="I926"/>
  <c r="B929" l="1"/>
  <c r="E928"/>
  <c r="D928"/>
  <c r="C928"/>
  <c r="G928"/>
  <c r="F928"/>
  <c r="H927"/>
  <c r="I927" s="1"/>
  <c r="J927" s="1"/>
  <c r="K927" s="1"/>
  <c r="J926"/>
  <c r="K926" s="1"/>
  <c r="R928" l="1"/>
  <c r="B930"/>
  <c r="C929"/>
  <c r="G929"/>
  <c r="F929"/>
  <c r="E929"/>
  <c r="H929" s="1"/>
  <c r="D929"/>
  <c r="H928"/>
  <c r="R929" l="1"/>
  <c r="B931"/>
  <c r="E930"/>
  <c r="D930"/>
  <c r="C930"/>
  <c r="G930"/>
  <c r="F930"/>
  <c r="I928"/>
  <c r="J928" s="1"/>
  <c r="K928" s="1"/>
  <c r="I929"/>
  <c r="J929" s="1"/>
  <c r="K929" s="1"/>
  <c r="H930" l="1"/>
  <c r="I930" s="1"/>
  <c r="B932"/>
  <c r="D931"/>
  <c r="C931"/>
  <c r="G931"/>
  <c r="F931"/>
  <c r="E931"/>
  <c r="R930"/>
  <c r="R931" l="1"/>
  <c r="J930"/>
  <c r="K930" s="1"/>
  <c r="B933"/>
  <c r="C932"/>
  <c r="G932"/>
  <c r="F932"/>
  <c r="E932"/>
  <c r="H932" s="1"/>
  <c r="D932"/>
  <c r="H931"/>
  <c r="I931" s="1"/>
  <c r="J931" s="1"/>
  <c r="K931" s="1"/>
  <c r="R932" l="1"/>
  <c r="B934"/>
  <c r="E933"/>
  <c r="D933"/>
  <c r="C933"/>
  <c r="R933" s="1"/>
  <c r="G933"/>
  <c r="F933"/>
  <c r="I932"/>
  <c r="J932" s="1"/>
  <c r="K932" s="1"/>
  <c r="H933" l="1"/>
  <c r="I933" s="1"/>
  <c r="J933" s="1"/>
  <c r="K933" s="1"/>
  <c r="B935"/>
  <c r="C934"/>
  <c r="G934"/>
  <c r="F934"/>
  <c r="E934"/>
  <c r="D934"/>
  <c r="R934" l="1"/>
  <c r="B936"/>
  <c r="F935"/>
  <c r="E935"/>
  <c r="D935"/>
  <c r="C935"/>
  <c r="G935"/>
  <c r="H934"/>
  <c r="I934" s="1"/>
  <c r="R935" l="1"/>
  <c r="B937"/>
  <c r="E936"/>
  <c r="D936"/>
  <c r="C936"/>
  <c r="R936" s="1"/>
  <c r="G936"/>
  <c r="F936"/>
  <c r="H935"/>
  <c r="I935" s="1"/>
  <c r="J935" s="1"/>
  <c r="K935" s="1"/>
  <c r="J934"/>
  <c r="K934" s="1"/>
  <c r="H936" l="1"/>
  <c r="I936" s="1"/>
  <c r="J936" s="1"/>
  <c r="K936" s="1"/>
  <c r="B938"/>
  <c r="C937"/>
  <c r="R937" s="1"/>
  <c r="G937"/>
  <c r="F937"/>
  <c r="E937"/>
  <c r="H937" s="1"/>
  <c r="D937"/>
  <c r="B939" l="1"/>
  <c r="E938"/>
  <c r="D938"/>
  <c r="C938"/>
  <c r="G938"/>
  <c r="F938"/>
  <c r="R938"/>
  <c r="I937"/>
  <c r="J937" s="1"/>
  <c r="K937" s="1"/>
  <c r="B940" l="1"/>
  <c r="D939"/>
  <c r="C939"/>
  <c r="G939"/>
  <c r="F939"/>
  <c r="E939"/>
  <c r="H939" s="1"/>
  <c r="R939"/>
  <c r="H938"/>
  <c r="B941" l="1"/>
  <c r="C940"/>
  <c r="G940"/>
  <c r="F940"/>
  <c r="E940"/>
  <c r="H940" s="1"/>
  <c r="D940"/>
  <c r="I939"/>
  <c r="J939" s="1"/>
  <c r="K939" s="1"/>
  <c r="I938"/>
  <c r="J938" s="1"/>
  <c r="K938" s="1"/>
  <c r="R940" l="1"/>
  <c r="B942"/>
  <c r="E941"/>
  <c r="D941"/>
  <c r="C941"/>
  <c r="R941" s="1"/>
  <c r="G941"/>
  <c r="F941"/>
  <c r="I940"/>
  <c r="J940" s="1"/>
  <c r="K940" s="1"/>
  <c r="H941" l="1"/>
  <c r="I941" s="1"/>
  <c r="J941" s="1"/>
  <c r="K941" s="1"/>
  <c r="B943"/>
  <c r="C942"/>
  <c r="G942"/>
  <c r="F942"/>
  <c r="E942"/>
  <c r="D942"/>
  <c r="H942" l="1"/>
  <c r="R942"/>
  <c r="B944"/>
  <c r="F943"/>
  <c r="E943"/>
  <c r="H943" s="1"/>
  <c r="D943"/>
  <c r="G943"/>
  <c r="C943"/>
  <c r="R943"/>
  <c r="J942" l="1"/>
  <c r="K942" s="1"/>
  <c r="I942"/>
  <c r="B945"/>
  <c r="E944"/>
  <c r="D944"/>
  <c r="C944"/>
  <c r="G944"/>
  <c r="F944"/>
  <c r="R944"/>
  <c r="I943"/>
  <c r="J943" s="1"/>
  <c r="K943" s="1"/>
  <c r="B946" l="1"/>
  <c r="C945"/>
  <c r="R945" s="1"/>
  <c r="G945"/>
  <c r="F945"/>
  <c r="E945"/>
  <c r="H945" s="1"/>
  <c r="D945"/>
  <c r="H944"/>
  <c r="B947" l="1"/>
  <c r="E946"/>
  <c r="D946"/>
  <c r="C946"/>
  <c r="G946"/>
  <c r="F946"/>
  <c r="R946"/>
  <c r="I944"/>
  <c r="J944" s="1"/>
  <c r="K944" s="1"/>
  <c r="I945"/>
  <c r="J945" s="1"/>
  <c r="K945" s="1"/>
  <c r="B948" l="1"/>
  <c r="D947"/>
  <c r="C947"/>
  <c r="G947"/>
  <c r="F947"/>
  <c r="I947" s="1"/>
  <c r="J947" s="1"/>
  <c r="K947" s="1"/>
  <c r="E947"/>
  <c r="H947" s="1"/>
  <c r="H946"/>
  <c r="R947" l="1"/>
  <c r="B949"/>
  <c r="C948"/>
  <c r="R948" s="1"/>
  <c r="G948"/>
  <c r="F948"/>
  <c r="E948"/>
  <c r="H948" s="1"/>
  <c r="D948"/>
  <c r="I946"/>
  <c r="J946" s="1"/>
  <c r="K946" s="1"/>
  <c r="B950" l="1"/>
  <c r="E949"/>
  <c r="H949" s="1"/>
  <c r="D949"/>
  <c r="C949"/>
  <c r="G949"/>
  <c r="F949"/>
  <c r="R949"/>
  <c r="I948"/>
  <c r="J948" s="1"/>
  <c r="K948" s="1"/>
  <c r="B951" l="1"/>
  <c r="C950"/>
  <c r="R950" s="1"/>
  <c r="G950"/>
  <c r="F950"/>
  <c r="E950"/>
  <c r="D950"/>
  <c r="I949"/>
  <c r="J949" s="1"/>
  <c r="K949" s="1"/>
  <c r="B952" l="1"/>
  <c r="F951"/>
  <c r="E951"/>
  <c r="D951"/>
  <c r="G951"/>
  <c r="C951"/>
  <c r="R951" s="1"/>
  <c r="H950"/>
  <c r="I950" s="1"/>
  <c r="B953" l="1"/>
  <c r="E952"/>
  <c r="H952" s="1"/>
  <c r="D952"/>
  <c r="C952"/>
  <c r="G952"/>
  <c r="F952"/>
  <c r="R952"/>
  <c r="H951"/>
  <c r="I951" s="1"/>
  <c r="J951" s="1"/>
  <c r="K951" s="1"/>
  <c r="J950"/>
  <c r="K950" s="1"/>
  <c r="B954" l="1"/>
  <c r="C953"/>
  <c r="R953" s="1"/>
  <c r="G953"/>
  <c r="F953"/>
  <c r="E953"/>
  <c r="H953" s="1"/>
  <c r="D953"/>
  <c r="I952"/>
  <c r="J952" s="1"/>
  <c r="K952" s="1"/>
  <c r="B955" l="1"/>
  <c r="E954"/>
  <c r="D954"/>
  <c r="C954"/>
  <c r="G954"/>
  <c r="F954"/>
  <c r="R954"/>
  <c r="I953"/>
  <c r="J953" s="1"/>
  <c r="K953" s="1"/>
  <c r="B956" l="1"/>
  <c r="D955"/>
  <c r="C955"/>
  <c r="G955"/>
  <c r="F955"/>
  <c r="I955" s="1"/>
  <c r="J955" s="1"/>
  <c r="K955" s="1"/>
  <c r="E955"/>
  <c r="H955" s="1"/>
  <c r="H954"/>
  <c r="R955" l="1"/>
  <c r="B957"/>
  <c r="C956"/>
  <c r="R956" s="1"/>
  <c r="G956"/>
  <c r="F956"/>
  <c r="E956"/>
  <c r="H956" s="1"/>
  <c r="D956"/>
  <c r="I954"/>
  <c r="J954" s="1"/>
  <c r="K954" s="1"/>
  <c r="B958" l="1"/>
  <c r="E957"/>
  <c r="H957" s="1"/>
  <c r="D957"/>
  <c r="C957"/>
  <c r="G957"/>
  <c r="F957"/>
  <c r="R957"/>
  <c r="I956"/>
  <c r="J956" s="1"/>
  <c r="K956" s="1"/>
  <c r="B959" l="1"/>
  <c r="C958"/>
  <c r="G958"/>
  <c r="F958"/>
  <c r="E958"/>
  <c r="D958"/>
  <c r="I957"/>
  <c r="J957" s="1"/>
  <c r="K957" s="1"/>
  <c r="B960" l="1"/>
  <c r="F959"/>
  <c r="E959"/>
  <c r="D959"/>
  <c r="G959"/>
  <c r="C959"/>
  <c r="R959" s="1"/>
  <c r="H958"/>
  <c r="I958" s="1"/>
  <c r="R958"/>
  <c r="H959" l="1"/>
  <c r="I959" s="1"/>
  <c r="J959" s="1"/>
  <c r="K959" s="1"/>
  <c r="B961"/>
  <c r="E960"/>
  <c r="D960"/>
  <c r="C960"/>
  <c r="R960" s="1"/>
  <c r="G960"/>
  <c r="F960"/>
  <c r="J958"/>
  <c r="K958" s="1"/>
  <c r="B962" l="1"/>
  <c r="C961"/>
  <c r="R961" s="1"/>
  <c r="G961"/>
  <c r="F961"/>
  <c r="E961"/>
  <c r="H961" s="1"/>
  <c r="D961"/>
  <c r="H960"/>
  <c r="B963" l="1"/>
  <c r="E962"/>
  <c r="D962"/>
  <c r="C962"/>
  <c r="G962"/>
  <c r="F962"/>
  <c r="R962"/>
  <c r="I960"/>
  <c r="J960" s="1"/>
  <c r="K960" s="1"/>
  <c r="I961"/>
  <c r="J961" s="1"/>
  <c r="K961" s="1"/>
  <c r="B964" l="1"/>
  <c r="D963"/>
  <c r="C963"/>
  <c r="G963"/>
  <c r="F963"/>
  <c r="E963"/>
  <c r="H963" s="1"/>
  <c r="R963"/>
  <c r="H962"/>
  <c r="B965" l="1"/>
  <c r="C964"/>
  <c r="G964"/>
  <c r="F964"/>
  <c r="E964"/>
  <c r="H964" s="1"/>
  <c r="D964"/>
  <c r="I962"/>
  <c r="J962" s="1"/>
  <c r="K962" s="1"/>
  <c r="I963"/>
  <c r="J963" s="1"/>
  <c r="K963" s="1"/>
  <c r="R964" l="1"/>
  <c r="B966"/>
  <c r="E965"/>
  <c r="D965"/>
  <c r="C965"/>
  <c r="R965" s="1"/>
  <c r="G965"/>
  <c r="F965"/>
  <c r="I964"/>
  <c r="J964" s="1"/>
  <c r="K964" s="1"/>
  <c r="H965" l="1"/>
  <c r="I965" s="1"/>
  <c r="J965" s="1"/>
  <c r="K965" s="1"/>
  <c r="B967"/>
  <c r="C966"/>
  <c r="G966"/>
  <c r="F966"/>
  <c r="E966"/>
  <c r="D966"/>
  <c r="B968" l="1"/>
  <c r="F967"/>
  <c r="E967"/>
  <c r="D967"/>
  <c r="C967"/>
  <c r="R967" s="1"/>
  <c r="G967"/>
  <c r="H966"/>
  <c r="R966"/>
  <c r="I966"/>
  <c r="B969" l="1"/>
  <c r="E968"/>
  <c r="H968" s="1"/>
  <c r="D968"/>
  <c r="C968"/>
  <c r="G968"/>
  <c r="F968"/>
  <c r="R968"/>
  <c r="H967"/>
  <c r="I967" s="1"/>
  <c r="J967" s="1"/>
  <c r="K967" s="1"/>
  <c r="J966"/>
  <c r="K966" s="1"/>
  <c r="B970" l="1"/>
  <c r="C969"/>
  <c r="R969" s="1"/>
  <c r="G969"/>
  <c r="F969"/>
  <c r="E969"/>
  <c r="H969" s="1"/>
  <c r="D969"/>
  <c r="I968"/>
  <c r="J968" s="1"/>
  <c r="K968" s="1"/>
  <c r="B971" l="1"/>
  <c r="E970"/>
  <c r="D970"/>
  <c r="C970"/>
  <c r="G970"/>
  <c r="F970"/>
  <c r="R970"/>
  <c r="I969"/>
  <c r="J969" s="1"/>
  <c r="K969" s="1"/>
  <c r="B972" l="1"/>
  <c r="D971"/>
  <c r="C971"/>
  <c r="G971"/>
  <c r="F971"/>
  <c r="I971" s="1"/>
  <c r="J971" s="1"/>
  <c r="K971" s="1"/>
  <c r="E971"/>
  <c r="H971" s="1"/>
  <c r="H970"/>
  <c r="R971" l="1"/>
  <c r="B973"/>
  <c r="C972"/>
  <c r="R972" s="1"/>
  <c r="G972"/>
  <c r="F972"/>
  <c r="E972"/>
  <c r="H972" s="1"/>
  <c r="D972"/>
  <c r="I970"/>
  <c r="J970" s="1"/>
  <c r="K970" s="1"/>
  <c r="B974" l="1"/>
  <c r="E973"/>
  <c r="D973"/>
  <c r="C973"/>
  <c r="G973"/>
  <c r="F973"/>
  <c r="I972"/>
  <c r="J972" s="1"/>
  <c r="K972" s="1"/>
  <c r="R973" l="1"/>
  <c r="B975"/>
  <c r="C974"/>
  <c r="G974"/>
  <c r="F974"/>
  <c r="E974"/>
  <c r="D974"/>
  <c r="H973"/>
  <c r="I973" s="1"/>
  <c r="B976" l="1"/>
  <c r="F975"/>
  <c r="E975"/>
  <c r="D975"/>
  <c r="G975"/>
  <c r="C975"/>
  <c r="R975" s="1"/>
  <c r="J973"/>
  <c r="K973" s="1"/>
  <c r="H974"/>
  <c r="I974" s="1"/>
  <c r="R974"/>
  <c r="I975" l="1"/>
  <c r="J975" s="1"/>
  <c r="K975" s="1"/>
  <c r="H975"/>
  <c r="B977"/>
  <c r="E976"/>
  <c r="D976"/>
  <c r="C976"/>
  <c r="G976"/>
  <c r="F976"/>
  <c r="R976"/>
  <c r="J974"/>
  <c r="K974" s="1"/>
  <c r="B978" l="1"/>
  <c r="C977"/>
  <c r="R977" s="1"/>
  <c r="G977"/>
  <c r="F977"/>
  <c r="E977"/>
  <c r="D977"/>
  <c r="H976"/>
  <c r="B979" l="1"/>
  <c r="E978"/>
  <c r="D978"/>
  <c r="C978"/>
  <c r="G978"/>
  <c r="F978"/>
  <c r="R978"/>
  <c r="H977"/>
  <c r="I977" s="1"/>
  <c r="J977" s="1"/>
  <c r="K977" s="1"/>
  <c r="I976"/>
  <c r="J976" s="1"/>
  <c r="K976" s="1"/>
  <c r="B980" l="1"/>
  <c r="D979"/>
  <c r="R979" s="1"/>
  <c r="C979"/>
  <c r="G979"/>
  <c r="F979"/>
  <c r="E979"/>
  <c r="H979" s="1"/>
  <c r="H978"/>
  <c r="I979" l="1"/>
  <c r="J979" s="1"/>
  <c r="K979" s="1"/>
  <c r="B981"/>
  <c r="C980"/>
  <c r="R980" s="1"/>
  <c r="G980"/>
  <c r="F980"/>
  <c r="I980" s="1"/>
  <c r="E980"/>
  <c r="H980" s="1"/>
  <c r="D980"/>
  <c r="I978"/>
  <c r="J978" s="1"/>
  <c r="K978" s="1"/>
  <c r="B982" l="1"/>
  <c r="E981"/>
  <c r="H981" s="1"/>
  <c r="D981"/>
  <c r="C981"/>
  <c r="G981"/>
  <c r="F981"/>
  <c r="R981"/>
  <c r="J980"/>
  <c r="K980" s="1"/>
  <c r="I981" l="1"/>
  <c r="J981" s="1"/>
  <c r="K981" s="1"/>
  <c r="B983"/>
  <c r="C982"/>
  <c r="G982"/>
  <c r="F982"/>
  <c r="E982"/>
  <c r="D982"/>
  <c r="B984" l="1"/>
  <c r="F983"/>
  <c r="E983"/>
  <c r="D983"/>
  <c r="G983"/>
  <c r="C983"/>
  <c r="R983" s="1"/>
  <c r="H982"/>
  <c r="I982" s="1"/>
  <c r="R982"/>
  <c r="B985" l="1"/>
  <c r="E984"/>
  <c r="D984"/>
  <c r="C984"/>
  <c r="G984"/>
  <c r="F984"/>
  <c r="R984"/>
  <c r="H983"/>
  <c r="I983" s="1"/>
  <c r="J983" s="1"/>
  <c r="K983" s="1"/>
  <c r="J982"/>
  <c r="K982" s="1"/>
  <c r="H984" l="1"/>
  <c r="I984" s="1"/>
  <c r="J984" s="1"/>
  <c r="K984" s="1"/>
  <c r="B986"/>
  <c r="C985"/>
  <c r="G985"/>
  <c r="F985"/>
  <c r="E985"/>
  <c r="H985" s="1"/>
  <c r="D985"/>
  <c r="R985" l="1"/>
  <c r="B987"/>
  <c r="E986"/>
  <c r="D986"/>
  <c r="C986"/>
  <c r="R986" s="1"/>
  <c r="G986"/>
  <c r="F986"/>
  <c r="I985"/>
  <c r="J985" s="1"/>
  <c r="K985" s="1"/>
  <c r="B988" l="1"/>
  <c r="D987"/>
  <c r="R987" s="1"/>
  <c r="C987"/>
  <c r="G987"/>
  <c r="F987"/>
  <c r="E987"/>
  <c r="H987" s="1"/>
  <c r="H986"/>
  <c r="B989" l="1"/>
  <c r="C988"/>
  <c r="G988"/>
  <c r="F988"/>
  <c r="E988"/>
  <c r="H988" s="1"/>
  <c r="D988"/>
  <c r="I987"/>
  <c r="J987" s="1"/>
  <c r="K987" s="1"/>
  <c r="I986"/>
  <c r="J986" s="1"/>
  <c r="K986" s="1"/>
  <c r="R988" l="1"/>
  <c r="B990"/>
  <c r="E989"/>
  <c r="D989"/>
  <c r="C989"/>
  <c r="R989" s="1"/>
  <c r="G989"/>
  <c r="F989"/>
  <c r="I988"/>
  <c r="J988" s="1"/>
  <c r="K988" s="1"/>
  <c r="H989" l="1"/>
  <c r="I989" s="1"/>
  <c r="J989" s="1"/>
  <c r="K989" s="1"/>
  <c r="B991"/>
  <c r="C990"/>
  <c r="G990"/>
  <c r="F990"/>
  <c r="E990"/>
  <c r="D990"/>
  <c r="B992" l="1"/>
  <c r="F991"/>
  <c r="E991"/>
  <c r="D991"/>
  <c r="G991"/>
  <c r="C991"/>
  <c r="R991" s="1"/>
  <c r="H990"/>
  <c r="R990"/>
  <c r="B993" l="1"/>
  <c r="E992"/>
  <c r="D992"/>
  <c r="C992"/>
  <c r="G992"/>
  <c r="F992"/>
  <c r="R992"/>
  <c r="H991"/>
  <c r="I991" s="1"/>
  <c r="J991" s="1"/>
  <c r="K991" s="1"/>
  <c r="I990"/>
  <c r="J990" s="1"/>
  <c r="K990" s="1"/>
  <c r="H992" l="1"/>
  <c r="I992" s="1"/>
  <c r="J992" s="1"/>
  <c r="K992" s="1"/>
  <c r="B994"/>
  <c r="C993"/>
  <c r="G993"/>
  <c r="F993"/>
  <c r="E993"/>
  <c r="H993" s="1"/>
  <c r="D993"/>
  <c r="R993" l="1"/>
  <c r="I993"/>
  <c r="B995"/>
  <c r="E994"/>
  <c r="D994"/>
  <c r="C994"/>
  <c r="G994"/>
  <c r="F994"/>
  <c r="J993"/>
  <c r="K993" s="1"/>
  <c r="R994" l="1"/>
  <c r="B996"/>
  <c r="D995"/>
  <c r="R995" s="1"/>
  <c r="C995"/>
  <c r="G995"/>
  <c r="F995"/>
  <c r="E995"/>
  <c r="H995" s="1"/>
  <c r="H994"/>
  <c r="I995" l="1"/>
  <c r="J995" s="1"/>
  <c r="K995" s="1"/>
  <c r="B997"/>
  <c r="C996"/>
  <c r="R996" s="1"/>
  <c r="G996"/>
  <c r="F996"/>
  <c r="E996"/>
  <c r="D996"/>
  <c r="I994"/>
  <c r="J994" s="1"/>
  <c r="K994" s="1"/>
  <c r="E997" l="1"/>
  <c r="H997" s="1"/>
  <c r="D997"/>
  <c r="C997"/>
  <c r="G997"/>
  <c r="B998"/>
  <c r="F997"/>
  <c r="H996"/>
  <c r="I996" s="1"/>
  <c r="R997" l="1"/>
  <c r="B999"/>
  <c r="C998"/>
  <c r="G998"/>
  <c r="F998"/>
  <c r="E998"/>
  <c r="D998"/>
  <c r="I997"/>
  <c r="J997" s="1"/>
  <c r="K997" s="1"/>
  <c r="J996"/>
  <c r="K996" s="1"/>
  <c r="H998" l="1"/>
  <c r="I998" s="1"/>
  <c r="J998" s="1"/>
  <c r="K998" s="1"/>
  <c r="B1000"/>
  <c r="F999"/>
  <c r="E999"/>
  <c r="D999"/>
  <c r="C999"/>
  <c r="G999"/>
  <c r="R998"/>
  <c r="R999" l="1"/>
  <c r="B1001"/>
  <c r="E1000"/>
  <c r="D1000"/>
  <c r="C1000"/>
  <c r="G1000"/>
  <c r="F1000"/>
  <c r="H999"/>
  <c r="I999" s="1"/>
  <c r="J999" s="1"/>
  <c r="K999" s="1"/>
  <c r="R1000" l="1"/>
  <c r="B1002"/>
  <c r="C1001"/>
  <c r="G1001"/>
  <c r="F1001"/>
  <c r="E1001"/>
  <c r="D1001"/>
  <c r="H1000"/>
  <c r="R1001" l="1"/>
  <c r="H1001"/>
  <c r="I1001" s="1"/>
  <c r="J1001" s="1"/>
  <c r="K1001" s="1"/>
  <c r="B1003"/>
  <c r="E1002"/>
  <c r="D1002"/>
  <c r="C1002"/>
  <c r="G1002"/>
  <c r="F1002"/>
  <c r="I1000"/>
  <c r="J1000" s="1"/>
  <c r="K1000" s="1"/>
  <c r="R1002" l="1"/>
  <c r="B1004"/>
  <c r="D1003"/>
  <c r="C1003"/>
  <c r="G1003"/>
  <c r="F1003"/>
  <c r="E1003"/>
  <c r="H1003" s="1"/>
  <c r="H1002"/>
  <c r="I1003" l="1"/>
  <c r="J1003" s="1"/>
  <c r="K1003" s="1"/>
  <c r="R1003"/>
  <c r="B1005"/>
  <c r="C1004"/>
  <c r="E1004"/>
  <c r="F1004"/>
  <c r="D1004"/>
  <c r="G1004"/>
  <c r="I1002"/>
  <c r="J1002" s="1"/>
  <c r="K1002" s="1"/>
  <c r="R1004" l="1"/>
  <c r="B1006"/>
  <c r="C1005"/>
  <c r="R1005" s="1"/>
  <c r="G1005"/>
  <c r="E1005"/>
  <c r="D1005"/>
  <c r="F1005"/>
  <c r="H1004"/>
  <c r="H1005" l="1"/>
  <c r="I1005" s="1"/>
  <c r="B1007"/>
  <c r="E1006"/>
  <c r="D1006"/>
  <c r="C1006"/>
  <c r="R1006" s="1"/>
  <c r="G1006"/>
  <c r="F1006"/>
  <c r="I1004"/>
  <c r="J1004" s="1"/>
  <c r="K1004" s="1"/>
  <c r="J1005" l="1"/>
  <c r="K1005" s="1"/>
  <c r="B1008"/>
  <c r="D1007"/>
  <c r="E1007"/>
  <c r="C1007"/>
  <c r="R1007" s="1"/>
  <c r="G1007"/>
  <c r="F1007"/>
  <c r="H1006"/>
  <c r="H1007" l="1"/>
  <c r="I1007" s="1"/>
  <c r="J1007" s="1"/>
  <c r="K1007" s="1"/>
  <c r="B1009"/>
  <c r="C1008"/>
  <c r="R1008" s="1"/>
  <c r="G1008"/>
  <c r="E1008"/>
  <c r="D1008"/>
  <c r="F1008"/>
  <c r="I1006"/>
  <c r="J1006" s="1"/>
  <c r="K1006" s="1"/>
  <c r="H1008" l="1"/>
  <c r="I1008" s="1"/>
  <c r="J1008" s="1"/>
  <c r="K1008" s="1"/>
  <c r="B1010"/>
  <c r="E1009"/>
  <c r="D1009"/>
  <c r="C1009"/>
  <c r="R1009" s="1"/>
  <c r="G1009"/>
  <c r="F1009"/>
  <c r="H1009" l="1"/>
  <c r="I1009" s="1"/>
  <c r="J1009" s="1"/>
  <c r="K1009" s="1"/>
  <c r="B1011"/>
  <c r="C1010"/>
  <c r="G1010"/>
  <c r="D1010"/>
  <c r="F1010"/>
  <c r="E1010"/>
  <c r="B1012" l="1"/>
  <c r="F1011"/>
  <c r="D1011"/>
  <c r="C1011"/>
  <c r="G1011"/>
  <c r="E1011"/>
  <c r="H1011" s="1"/>
  <c r="R1011"/>
  <c r="H1010"/>
  <c r="R1010"/>
  <c r="B1013" l="1"/>
  <c r="E1012"/>
  <c r="H1012" s="1"/>
  <c r="D1012"/>
  <c r="C1012"/>
  <c r="G1012"/>
  <c r="F1012"/>
  <c r="R1012"/>
  <c r="I1011"/>
  <c r="J1011" s="1"/>
  <c r="K1011" s="1"/>
  <c r="I1010"/>
  <c r="J1010" s="1"/>
  <c r="K1010" s="1"/>
  <c r="B1014" l="1"/>
  <c r="C1013"/>
  <c r="R1013" s="1"/>
  <c r="G1013"/>
  <c r="D1013"/>
  <c r="F1013"/>
  <c r="E1013"/>
  <c r="H1013" s="1"/>
  <c r="I1012"/>
  <c r="J1012" s="1"/>
  <c r="K1012" s="1"/>
  <c r="B1015" l="1"/>
  <c r="E1014"/>
  <c r="C1014"/>
  <c r="G1014"/>
  <c r="F1014"/>
  <c r="D1014"/>
  <c r="I1013"/>
  <c r="J1013" s="1"/>
  <c r="K1013" s="1"/>
  <c r="R1014" l="1"/>
  <c r="I1014"/>
  <c r="H1014"/>
  <c r="B1016"/>
  <c r="D1015"/>
  <c r="C1015"/>
  <c r="G1015"/>
  <c r="F1015"/>
  <c r="E1015"/>
  <c r="R1015" l="1"/>
  <c r="B1017"/>
  <c r="C1016"/>
  <c r="G1016"/>
  <c r="D1016"/>
  <c r="E1016"/>
  <c r="H1016" s="1"/>
  <c r="F1016"/>
  <c r="J1014"/>
  <c r="K1014" s="1"/>
  <c r="H1015"/>
  <c r="I1015" s="1"/>
  <c r="J1015" s="1"/>
  <c r="K1015" s="1"/>
  <c r="R1016" l="1"/>
  <c r="B1018"/>
  <c r="E1017"/>
  <c r="H1017" s="1"/>
  <c r="C1017"/>
  <c r="G1017"/>
  <c r="F1017"/>
  <c r="D1017"/>
  <c r="I1016"/>
  <c r="J1016" s="1"/>
  <c r="K1016" s="1"/>
  <c r="I1017" l="1"/>
  <c r="J1017" s="1"/>
  <c r="K1017" s="1"/>
  <c r="R1017"/>
  <c r="B1019"/>
  <c r="C1018"/>
  <c r="G1018"/>
  <c r="F1018"/>
  <c r="E1018"/>
  <c r="D1018"/>
  <c r="H1018" l="1"/>
  <c r="I1018" s="1"/>
  <c r="B1020"/>
  <c r="F1019"/>
  <c r="C1019"/>
  <c r="G1019"/>
  <c r="E1019"/>
  <c r="D1019"/>
  <c r="R1019" s="1"/>
  <c r="R1018"/>
  <c r="H1019" l="1"/>
  <c r="J1018"/>
  <c r="K1018" s="1"/>
  <c r="B1021"/>
  <c r="E1020"/>
  <c r="C1020"/>
  <c r="G1020"/>
  <c r="D1020"/>
  <c r="F1020"/>
  <c r="I1019"/>
  <c r="J1019" s="1"/>
  <c r="K1019" s="1"/>
  <c r="R1020" l="1"/>
  <c r="H1020"/>
  <c r="B1022"/>
  <c r="C1021"/>
  <c r="G1021"/>
  <c r="F1021"/>
  <c r="D1021"/>
  <c r="E1021"/>
  <c r="H1021" s="1"/>
  <c r="I1020"/>
  <c r="J1020" s="1"/>
  <c r="K1020" s="1"/>
  <c r="R1021" l="1"/>
  <c r="B1023"/>
  <c r="E1022"/>
  <c r="G1022"/>
  <c r="F1022"/>
  <c r="D1022"/>
  <c r="C1022"/>
  <c r="H1022" s="1"/>
  <c r="I1021"/>
  <c r="J1021" s="1"/>
  <c r="K1021" s="1"/>
  <c r="B1024" l="1"/>
  <c r="D1023"/>
  <c r="G1023"/>
  <c r="F1023"/>
  <c r="C1023"/>
  <c r="R1023" s="1"/>
  <c r="E1023"/>
  <c r="R1022"/>
  <c r="I1022"/>
  <c r="J1022" s="1"/>
  <c r="K1022" s="1"/>
  <c r="B1025" l="1"/>
  <c r="C1024"/>
  <c r="R1024" s="1"/>
  <c r="G1024"/>
  <c r="F1024"/>
  <c r="E1024"/>
  <c r="H1024" s="1"/>
  <c r="D1024"/>
  <c r="H1023"/>
  <c r="I1023" s="1"/>
  <c r="J1023" s="1"/>
  <c r="K1023" s="1"/>
  <c r="B1026" l="1"/>
  <c r="E1025"/>
  <c r="G1025"/>
  <c r="F1025"/>
  <c r="C1025"/>
  <c r="R1025" s="1"/>
  <c r="D1025"/>
  <c r="I1024"/>
  <c r="J1024" s="1"/>
  <c r="K1024" s="1"/>
  <c r="B1027" l="1"/>
  <c r="C1026"/>
  <c r="G1026"/>
  <c r="F1026"/>
  <c r="E1026"/>
  <c r="D1026"/>
  <c r="H1025"/>
  <c r="I1025" s="1"/>
  <c r="H1026" l="1"/>
  <c r="I1026" s="1"/>
  <c r="R1026"/>
  <c r="B1028"/>
  <c r="F1027"/>
  <c r="G1027"/>
  <c r="E1027"/>
  <c r="D1027"/>
  <c r="C1027"/>
  <c r="J1025"/>
  <c r="K1025" s="1"/>
  <c r="R1027" l="1"/>
  <c r="J1026"/>
  <c r="K1026" s="1"/>
  <c r="H1027"/>
  <c r="B1029"/>
  <c r="E1028"/>
  <c r="G1028"/>
  <c r="F1028"/>
  <c r="C1028"/>
  <c r="D1028"/>
  <c r="I1027"/>
  <c r="J1027" s="1"/>
  <c r="K1027" s="1"/>
  <c r="R1028" l="1"/>
  <c r="B1030"/>
  <c r="C1029"/>
  <c r="R1029" s="1"/>
  <c r="G1029"/>
  <c r="F1029"/>
  <c r="E1029"/>
  <c r="H1029" s="1"/>
  <c r="D1029"/>
  <c r="H1028"/>
  <c r="I1028" s="1"/>
  <c r="B1031" l="1"/>
  <c r="E1030"/>
  <c r="F1030"/>
  <c r="D1030"/>
  <c r="G1030"/>
  <c r="C1030"/>
  <c r="H1030" s="1"/>
  <c r="J1028"/>
  <c r="K1028" s="1"/>
  <c r="I1029"/>
  <c r="J1029" s="1"/>
  <c r="K1029" s="1"/>
  <c r="J1030" l="1"/>
  <c r="K1030" s="1"/>
  <c r="I1030"/>
  <c r="B1032"/>
  <c r="D1031"/>
  <c r="F1031"/>
  <c r="I1031" s="1"/>
  <c r="J1031" s="1"/>
  <c r="K1031" s="1"/>
  <c r="E1031"/>
  <c r="H1031" s="1"/>
  <c r="G1031"/>
  <c r="C1031"/>
  <c r="R1031"/>
  <c r="R1030"/>
  <c r="B1033" l="1"/>
  <c r="C1032"/>
  <c r="R1032" s="1"/>
  <c r="G1032"/>
  <c r="F1032"/>
  <c r="E1032"/>
  <c r="H1032" s="1"/>
  <c r="D1032"/>
  <c r="B1034" l="1"/>
  <c r="E1033"/>
  <c r="F1033"/>
  <c r="D1033"/>
  <c r="G1033"/>
  <c r="C1033"/>
  <c r="R1033" s="1"/>
  <c r="I1032"/>
  <c r="J1032" s="1"/>
  <c r="K1032" s="1"/>
  <c r="H1033" l="1"/>
  <c r="I1033" s="1"/>
  <c r="B1035"/>
  <c r="C1034"/>
  <c r="G1034"/>
  <c r="E1034"/>
  <c r="D1034"/>
  <c r="F1034"/>
  <c r="R1034" l="1"/>
  <c r="B1036"/>
  <c r="F1035"/>
  <c r="E1035"/>
  <c r="D1035"/>
  <c r="C1035"/>
  <c r="G1035"/>
  <c r="J1033"/>
  <c r="K1033" s="1"/>
  <c r="H1034"/>
  <c r="I1034" s="1"/>
  <c r="R1035" l="1"/>
  <c r="B1037"/>
  <c r="E1036"/>
  <c r="F1036"/>
  <c r="G1036"/>
  <c r="D1036"/>
  <c r="C1036"/>
  <c r="R1036" s="1"/>
  <c r="J1034"/>
  <c r="K1034" s="1"/>
  <c r="H1035"/>
  <c r="I1035" s="1"/>
  <c r="J1035" s="1"/>
  <c r="K1035" s="1"/>
  <c r="H1036" l="1"/>
  <c r="I1036" s="1"/>
  <c r="B1038"/>
  <c r="C1037"/>
  <c r="G1037"/>
  <c r="E1037"/>
  <c r="H1037" s="1"/>
  <c r="D1037"/>
  <c r="F1037"/>
  <c r="R1037" l="1"/>
  <c r="B1039"/>
  <c r="E1038"/>
  <c r="D1038"/>
  <c r="C1038"/>
  <c r="R1038" s="1"/>
  <c r="G1038"/>
  <c r="F1038"/>
  <c r="J1036"/>
  <c r="K1036" s="1"/>
  <c r="I1037"/>
  <c r="J1037" s="1"/>
  <c r="K1037" s="1"/>
  <c r="B1040" l="1"/>
  <c r="D1039"/>
  <c r="E1039"/>
  <c r="H1039" s="1"/>
  <c r="C1039"/>
  <c r="F1039"/>
  <c r="I1039" s="1"/>
  <c r="J1039" s="1"/>
  <c r="K1039" s="1"/>
  <c r="G1039"/>
  <c r="R1039"/>
  <c r="H1038"/>
  <c r="B1041" l="1"/>
  <c r="C1040"/>
  <c r="R1040" s="1"/>
  <c r="G1040"/>
  <c r="E1040"/>
  <c r="D1040"/>
  <c r="F1040"/>
  <c r="I1038"/>
  <c r="J1038" s="1"/>
  <c r="K1038" s="1"/>
  <c r="H1040" l="1"/>
  <c r="I1040" s="1"/>
  <c r="J1040" s="1"/>
  <c r="K1040" s="1"/>
  <c r="B1042"/>
  <c r="E1041"/>
  <c r="D1041"/>
  <c r="C1041"/>
  <c r="R1041" s="1"/>
  <c r="G1041"/>
  <c r="F1041"/>
  <c r="B1043" l="1"/>
  <c r="C1042"/>
  <c r="G1042"/>
  <c r="D1042"/>
  <c r="E1042"/>
  <c r="F1042"/>
  <c r="H1041"/>
  <c r="B1044" l="1"/>
  <c r="F1043"/>
  <c r="D1043"/>
  <c r="C1043"/>
  <c r="E1043"/>
  <c r="H1043" s="1"/>
  <c r="G1043"/>
  <c r="R1043"/>
  <c r="H1042"/>
  <c r="R1042"/>
  <c r="I1041"/>
  <c r="J1041" s="1"/>
  <c r="K1041" s="1"/>
  <c r="B1045" l="1"/>
  <c r="E1044"/>
  <c r="H1044" s="1"/>
  <c r="D1044"/>
  <c r="C1044"/>
  <c r="G1044"/>
  <c r="F1044"/>
  <c r="R1044"/>
  <c r="I1043"/>
  <c r="J1043" s="1"/>
  <c r="K1043" s="1"/>
  <c r="I1042"/>
  <c r="J1042" s="1"/>
  <c r="K1042" s="1"/>
  <c r="I1044" l="1"/>
  <c r="J1044" s="1"/>
  <c r="K1044" s="1"/>
  <c r="B1046"/>
  <c r="C1045"/>
  <c r="G1045"/>
  <c r="D1045"/>
  <c r="E1045"/>
  <c r="H1045" s="1"/>
  <c r="F1045"/>
  <c r="R1045" l="1"/>
  <c r="B1047"/>
  <c r="E1046"/>
  <c r="C1046"/>
  <c r="G1046"/>
  <c r="D1046"/>
  <c r="R1046" s="1"/>
  <c r="F1046"/>
  <c r="I1045"/>
  <c r="J1045" s="1"/>
  <c r="K1045" s="1"/>
  <c r="B1048" l="1"/>
  <c r="D1047"/>
  <c r="C1047"/>
  <c r="G1047"/>
  <c r="F1047"/>
  <c r="I1047" s="1"/>
  <c r="J1047" s="1"/>
  <c r="K1047" s="1"/>
  <c r="E1047"/>
  <c r="H1047" s="1"/>
  <c r="H1046"/>
  <c r="R1047" l="1"/>
  <c r="B1049"/>
  <c r="C1048"/>
  <c r="G1048"/>
  <c r="D1048"/>
  <c r="E1048"/>
  <c r="F1048"/>
  <c r="I1046"/>
  <c r="J1046" s="1"/>
  <c r="K1046" s="1"/>
  <c r="H1048" l="1"/>
  <c r="I1048" s="1"/>
  <c r="R1048"/>
  <c r="B1050"/>
  <c r="E1049"/>
  <c r="C1049"/>
  <c r="D1049"/>
  <c r="G1049"/>
  <c r="F1049"/>
  <c r="R1049"/>
  <c r="J1048" l="1"/>
  <c r="K1048" s="1"/>
  <c r="B1051"/>
  <c r="C1050"/>
  <c r="G1050"/>
  <c r="F1050"/>
  <c r="E1050"/>
  <c r="D1050"/>
  <c r="H1049"/>
  <c r="I1049" s="1"/>
  <c r="J1049" s="1"/>
  <c r="K1049" s="1"/>
  <c r="R1050" l="1"/>
  <c r="B1052"/>
  <c r="F1051"/>
  <c r="C1051"/>
  <c r="G1051"/>
  <c r="D1051"/>
  <c r="R1051" s="1"/>
  <c r="E1051"/>
  <c r="H1051" s="1"/>
  <c r="H1050"/>
  <c r="I1050"/>
  <c r="I1051" l="1"/>
  <c r="J1051" s="1"/>
  <c r="K1051" s="1"/>
  <c r="B1053"/>
  <c r="E1052"/>
  <c r="H1052" s="1"/>
  <c r="C1052"/>
  <c r="D1052"/>
  <c r="R1052" s="1"/>
  <c r="G1052"/>
  <c r="F1052"/>
  <c r="J1050"/>
  <c r="K1050" s="1"/>
  <c r="B1054" l="1"/>
  <c r="C1053"/>
  <c r="G1053"/>
  <c r="F1053"/>
  <c r="E1053"/>
  <c r="H1053" s="1"/>
  <c r="D1053"/>
  <c r="I1052"/>
  <c r="J1052" s="1"/>
  <c r="K1052" s="1"/>
  <c r="R1053" l="1"/>
  <c r="B1055"/>
  <c r="E1054"/>
  <c r="G1054"/>
  <c r="F1054"/>
  <c r="C1054"/>
  <c r="H1054" s="1"/>
  <c r="D1054"/>
  <c r="I1053"/>
  <c r="J1053" s="1"/>
  <c r="K1053" s="1"/>
  <c r="B1056" l="1"/>
  <c r="D1055"/>
  <c r="G1055"/>
  <c r="F1055"/>
  <c r="C1055"/>
  <c r="R1055" s="1"/>
  <c r="E1055"/>
  <c r="R1054"/>
  <c r="I1054"/>
  <c r="J1054" s="1"/>
  <c r="K1054" s="1"/>
  <c r="B1057" l="1"/>
  <c r="C1056"/>
  <c r="G1056"/>
  <c r="F1056"/>
  <c r="E1056"/>
  <c r="H1056" s="1"/>
  <c r="D1056"/>
  <c r="H1055"/>
  <c r="I1055" s="1"/>
  <c r="J1055" s="1"/>
  <c r="K1055" s="1"/>
  <c r="R1056" l="1"/>
  <c r="B1058"/>
  <c r="E1057"/>
  <c r="G1057"/>
  <c r="F1057"/>
  <c r="C1057"/>
  <c r="R1057" s="1"/>
  <c r="D1057"/>
  <c r="I1056"/>
  <c r="J1056" s="1"/>
  <c r="K1056" s="1"/>
  <c r="B1059" l="1"/>
  <c r="C1058"/>
  <c r="G1058"/>
  <c r="F1058"/>
  <c r="E1058"/>
  <c r="D1058"/>
  <c r="H1057"/>
  <c r="I1057" s="1"/>
  <c r="J1057" s="1"/>
  <c r="K1057" s="1"/>
  <c r="R1058" l="1"/>
  <c r="B1060"/>
  <c r="F1059"/>
  <c r="G1059"/>
  <c r="E1059"/>
  <c r="D1059"/>
  <c r="C1059"/>
  <c r="R1059" s="1"/>
  <c r="H1058"/>
  <c r="I1058"/>
  <c r="B1061" l="1"/>
  <c r="E1060"/>
  <c r="G1060"/>
  <c r="F1060"/>
  <c r="C1060"/>
  <c r="R1060" s="1"/>
  <c r="D1060"/>
  <c r="J1058"/>
  <c r="K1058" s="1"/>
  <c r="H1059"/>
  <c r="I1059" s="1"/>
  <c r="J1059" s="1"/>
  <c r="K1059" s="1"/>
  <c r="B1062" l="1"/>
  <c r="C1061"/>
  <c r="R1061" s="1"/>
  <c r="G1061"/>
  <c r="F1061"/>
  <c r="E1061"/>
  <c r="H1061" s="1"/>
  <c r="D1061"/>
  <c r="H1060"/>
  <c r="I1060" s="1"/>
  <c r="B1063" l="1"/>
  <c r="E1062"/>
  <c r="F1062"/>
  <c r="D1062"/>
  <c r="G1062"/>
  <c r="C1062"/>
  <c r="H1062" s="1"/>
  <c r="J1060"/>
  <c r="K1060" s="1"/>
  <c r="I1061"/>
  <c r="J1061" s="1"/>
  <c r="K1061" s="1"/>
  <c r="B1064" l="1"/>
  <c r="D1063"/>
  <c r="F1063"/>
  <c r="E1063"/>
  <c r="G1063"/>
  <c r="C1063"/>
  <c r="R1063" s="1"/>
  <c r="R1062"/>
  <c r="I1062"/>
  <c r="J1062" s="1"/>
  <c r="K1062" s="1"/>
  <c r="B1065" l="1"/>
  <c r="C1064"/>
  <c r="G1064"/>
  <c r="F1064"/>
  <c r="E1064"/>
  <c r="H1064" s="1"/>
  <c r="D1064"/>
  <c r="I1063"/>
  <c r="J1063" s="1"/>
  <c r="K1063" s="1"/>
  <c r="H1063"/>
  <c r="R1064" l="1"/>
  <c r="B1066"/>
  <c r="E1065"/>
  <c r="F1065"/>
  <c r="D1065"/>
  <c r="G1065"/>
  <c r="C1065"/>
  <c r="I1064"/>
  <c r="J1064" s="1"/>
  <c r="K1064" s="1"/>
  <c r="R1065" l="1"/>
  <c r="B1067"/>
  <c r="C1066"/>
  <c r="G1066"/>
  <c r="E1066"/>
  <c r="F1066"/>
  <c r="D1066"/>
  <c r="H1065"/>
  <c r="I1065" s="1"/>
  <c r="J1065" s="1"/>
  <c r="K1065" s="1"/>
  <c r="H1066" l="1"/>
  <c r="I1066" s="1"/>
  <c r="B1068"/>
  <c r="F1067"/>
  <c r="E1067"/>
  <c r="D1067"/>
  <c r="C1067"/>
  <c r="G1067"/>
  <c r="R1066"/>
  <c r="R1067" l="1"/>
  <c r="J1066"/>
  <c r="K1066" s="1"/>
  <c r="B1069"/>
  <c r="E1068"/>
  <c r="F1068"/>
  <c r="D1068"/>
  <c r="G1068"/>
  <c r="C1068"/>
  <c r="H1067"/>
  <c r="I1067" s="1"/>
  <c r="J1067" s="1"/>
  <c r="K1067" s="1"/>
  <c r="R1068" l="1"/>
  <c r="B1070"/>
  <c r="C1069"/>
  <c r="R1069" s="1"/>
  <c r="G1069"/>
  <c r="E1069"/>
  <c r="F1069"/>
  <c r="D1069"/>
  <c r="H1068"/>
  <c r="B1071" l="1"/>
  <c r="E1070"/>
  <c r="D1070"/>
  <c r="C1070"/>
  <c r="G1070"/>
  <c r="F1070"/>
  <c r="R1070"/>
  <c r="I1068"/>
  <c r="J1068" s="1"/>
  <c r="K1068" s="1"/>
  <c r="H1069"/>
  <c r="B1072" l="1"/>
  <c r="D1071"/>
  <c r="E1071"/>
  <c r="C1071"/>
  <c r="F1071"/>
  <c r="G1071"/>
  <c r="I1069"/>
  <c r="J1069" s="1"/>
  <c r="K1069" s="1"/>
  <c r="H1070"/>
  <c r="R1071" l="1"/>
  <c r="I1071"/>
  <c r="J1071" s="1"/>
  <c r="K1071" s="1"/>
  <c r="H1071"/>
  <c r="B1073"/>
  <c r="C1072"/>
  <c r="G1072"/>
  <c r="E1072"/>
  <c r="F1072"/>
  <c r="D1072"/>
  <c r="I1070"/>
  <c r="J1070" s="1"/>
  <c r="K1070" s="1"/>
  <c r="R1072" l="1"/>
  <c r="H1072"/>
  <c r="B1074"/>
  <c r="E1073"/>
  <c r="D1073"/>
  <c r="C1073"/>
  <c r="G1073"/>
  <c r="F1073"/>
  <c r="I1072"/>
  <c r="J1072" s="1"/>
  <c r="K1072" s="1"/>
  <c r="R1073" l="1"/>
  <c r="H1073"/>
  <c r="I1073" s="1"/>
  <c r="J1073" s="1"/>
  <c r="K1073" s="1"/>
  <c r="B1075"/>
  <c r="C1074"/>
  <c r="G1074"/>
  <c r="D1074"/>
  <c r="E1074"/>
  <c r="F1074"/>
  <c r="H1074" l="1"/>
  <c r="I1074" s="1"/>
  <c r="R1074"/>
  <c r="B1076"/>
  <c r="F1075"/>
  <c r="D1075"/>
  <c r="E1075"/>
  <c r="C1075"/>
  <c r="G1075"/>
  <c r="R1075" l="1"/>
  <c r="J1074"/>
  <c r="K1074" s="1"/>
  <c r="H1075"/>
  <c r="B1077"/>
  <c r="E1076"/>
  <c r="D1076"/>
  <c r="C1076"/>
  <c r="G1076"/>
  <c r="F1076"/>
  <c r="I1075"/>
  <c r="J1075" s="1"/>
  <c r="K1075" s="1"/>
  <c r="R1076" l="1"/>
  <c r="B1078"/>
  <c r="C1077"/>
  <c r="G1077"/>
  <c r="D1077"/>
  <c r="E1077"/>
  <c r="H1077" s="1"/>
  <c r="F1077"/>
  <c r="H1076"/>
  <c r="I1076" s="1"/>
  <c r="R1077" l="1"/>
  <c r="B1079"/>
  <c r="E1078"/>
  <c r="C1078"/>
  <c r="G1078"/>
  <c r="D1078"/>
  <c r="F1078"/>
  <c r="J1076"/>
  <c r="K1076" s="1"/>
  <c r="I1077"/>
  <c r="J1077" s="1"/>
  <c r="K1077" s="1"/>
  <c r="H1078" l="1"/>
  <c r="I1078" s="1"/>
  <c r="J1078" s="1"/>
  <c r="K1078" s="1"/>
  <c r="B1080"/>
  <c r="D1079"/>
  <c r="R1079" s="1"/>
  <c r="C1079"/>
  <c r="G1079"/>
  <c r="F1079"/>
  <c r="E1079"/>
  <c r="R1078"/>
  <c r="B1081" l="1"/>
  <c r="C1080"/>
  <c r="R1080" s="1"/>
  <c r="G1080"/>
  <c r="D1080"/>
  <c r="E1080"/>
  <c r="F1080"/>
  <c r="H1079"/>
  <c r="I1079" s="1"/>
  <c r="J1079" s="1"/>
  <c r="K1079" s="1"/>
  <c r="B1082" l="1"/>
  <c r="E1081"/>
  <c r="C1081"/>
  <c r="G1081"/>
  <c r="D1081"/>
  <c r="F1081"/>
  <c r="R1081"/>
  <c r="H1080"/>
  <c r="B1083" l="1"/>
  <c r="C1082"/>
  <c r="G1082"/>
  <c r="F1082"/>
  <c r="E1082"/>
  <c r="D1082"/>
  <c r="I1080"/>
  <c r="J1080" s="1"/>
  <c r="K1080" s="1"/>
  <c r="H1081"/>
  <c r="I1081" s="1"/>
  <c r="J1081" s="1"/>
  <c r="K1081" s="1"/>
  <c r="H1082" l="1"/>
  <c r="R1082"/>
  <c r="B1084"/>
  <c r="F1083"/>
  <c r="C1083"/>
  <c r="R1083" s="1"/>
  <c r="G1083"/>
  <c r="D1083"/>
  <c r="E1083"/>
  <c r="I1082"/>
  <c r="J1082" s="1"/>
  <c r="K1082" s="1"/>
  <c r="B1085" l="1"/>
  <c r="E1084"/>
  <c r="C1084"/>
  <c r="G1084"/>
  <c r="D1084"/>
  <c r="F1084"/>
  <c r="H1083"/>
  <c r="I1083" s="1"/>
  <c r="J1083" s="1"/>
  <c r="K1083" s="1"/>
  <c r="R1084" l="1"/>
  <c r="B1086"/>
  <c r="C1085"/>
  <c r="G1085"/>
  <c r="F1085"/>
  <c r="D1085"/>
  <c r="E1085"/>
  <c r="H1084"/>
  <c r="I1084" s="1"/>
  <c r="R1085" l="1"/>
  <c r="B1087"/>
  <c r="E1086"/>
  <c r="G1086"/>
  <c r="F1086"/>
  <c r="I1086" s="1"/>
  <c r="D1086"/>
  <c r="C1086"/>
  <c r="H1086" s="1"/>
  <c r="J1084"/>
  <c r="K1084" s="1"/>
  <c r="H1085"/>
  <c r="I1085" s="1"/>
  <c r="J1085" s="1"/>
  <c r="K1085" s="1"/>
  <c r="R1086" l="1"/>
  <c r="B1088"/>
  <c r="D1087"/>
  <c r="G1087"/>
  <c r="F1087"/>
  <c r="C1087"/>
  <c r="R1087" s="1"/>
  <c r="E1087"/>
  <c r="J1086"/>
  <c r="K1086" s="1"/>
  <c r="H1087" l="1"/>
  <c r="I1087" s="1"/>
  <c r="J1087" s="1"/>
  <c r="K1087" s="1"/>
  <c r="B1089"/>
  <c r="C1088"/>
  <c r="G1088"/>
  <c r="F1088"/>
  <c r="D1088"/>
  <c r="E1088"/>
  <c r="R1088" l="1"/>
  <c r="B1090"/>
  <c r="E1089"/>
  <c r="G1089"/>
  <c r="F1089"/>
  <c r="D1089"/>
  <c r="C1089"/>
  <c r="R1089" s="1"/>
  <c r="H1088"/>
  <c r="I1088" s="1"/>
  <c r="B1091" l="1"/>
  <c r="C1090"/>
  <c r="G1090"/>
  <c r="F1090"/>
  <c r="E1090"/>
  <c r="D1090"/>
  <c r="H1089"/>
  <c r="J1088"/>
  <c r="K1088" s="1"/>
  <c r="I1089"/>
  <c r="J1089" s="1"/>
  <c r="K1089" s="1"/>
  <c r="B1092" l="1"/>
  <c r="F1091"/>
  <c r="G1091"/>
  <c r="E1091"/>
  <c r="C1091"/>
  <c r="R1091" s="1"/>
  <c r="D1091"/>
  <c r="H1090"/>
  <c r="R1090"/>
  <c r="I1090"/>
  <c r="B1093" l="1"/>
  <c r="E1092"/>
  <c r="G1092"/>
  <c r="F1092"/>
  <c r="D1092"/>
  <c r="C1092"/>
  <c r="R1092" s="1"/>
  <c r="J1090"/>
  <c r="K1090" s="1"/>
  <c r="H1091"/>
  <c r="I1091" s="1"/>
  <c r="J1091" s="1"/>
  <c r="K1091" s="1"/>
  <c r="B1094" l="1"/>
  <c r="C1093"/>
  <c r="R1093" s="1"/>
  <c r="G1093"/>
  <c r="F1093"/>
  <c r="E1093"/>
  <c r="D1093"/>
  <c r="H1092"/>
  <c r="I1092" s="1"/>
  <c r="B1095" l="1"/>
  <c r="E1094"/>
  <c r="F1094"/>
  <c r="D1094"/>
  <c r="C1094"/>
  <c r="H1094" s="1"/>
  <c r="G1094"/>
  <c r="H1093"/>
  <c r="I1093" s="1"/>
  <c r="J1093" s="1"/>
  <c r="K1093" s="1"/>
  <c r="J1092"/>
  <c r="K1092" s="1"/>
  <c r="R1094" l="1"/>
  <c r="B1096"/>
  <c r="D1095"/>
  <c r="F1095"/>
  <c r="E1095"/>
  <c r="H1095" s="1"/>
  <c r="G1095"/>
  <c r="C1095"/>
  <c r="R1095" s="1"/>
  <c r="I1094"/>
  <c r="J1094" s="1"/>
  <c r="K1094" s="1"/>
  <c r="I1095" l="1"/>
  <c r="J1095" s="1"/>
  <c r="K1095" s="1"/>
  <c r="B1097"/>
  <c r="C1096"/>
  <c r="R1096" s="1"/>
  <c r="G1096"/>
  <c r="F1096"/>
  <c r="E1096"/>
  <c r="D1096"/>
  <c r="B1098" l="1"/>
  <c r="E1097"/>
  <c r="F1097"/>
  <c r="D1097"/>
  <c r="C1097"/>
  <c r="R1097" s="1"/>
  <c r="G1097"/>
  <c r="H1096"/>
  <c r="I1096" s="1"/>
  <c r="B1099" l="1"/>
  <c r="C1098"/>
  <c r="G1098"/>
  <c r="E1098"/>
  <c r="D1098"/>
  <c r="F1098"/>
  <c r="J1096"/>
  <c r="K1096" s="1"/>
  <c r="H1097"/>
  <c r="I1097" s="1"/>
  <c r="J1097" s="1"/>
  <c r="K1097" s="1"/>
  <c r="R1098" l="1"/>
  <c r="B1100"/>
  <c r="F1099"/>
  <c r="E1099"/>
  <c r="D1099"/>
  <c r="G1099"/>
  <c r="C1099"/>
  <c r="H1098"/>
  <c r="I1098" s="1"/>
  <c r="R1099" l="1"/>
  <c r="H1099"/>
  <c r="B1101"/>
  <c r="E1100"/>
  <c r="F1100"/>
  <c r="D1100"/>
  <c r="R1100" s="1"/>
  <c r="C1100"/>
  <c r="G1100"/>
  <c r="J1098"/>
  <c r="K1098" s="1"/>
  <c r="I1099"/>
  <c r="J1099" s="1"/>
  <c r="K1099" s="1"/>
  <c r="B1102" l="1"/>
  <c r="C1101"/>
  <c r="G1101"/>
  <c r="E1101"/>
  <c r="D1101"/>
  <c r="F1101"/>
  <c r="H1100"/>
  <c r="R1101" l="1"/>
  <c r="H1101"/>
  <c r="I1101" s="1"/>
  <c r="J1101" s="1"/>
  <c r="K1101" s="1"/>
  <c r="J1100"/>
  <c r="K1100" s="1"/>
  <c r="I1100"/>
  <c r="B1103"/>
  <c r="E1102"/>
  <c r="D1102"/>
  <c r="C1102"/>
  <c r="F1102"/>
  <c r="G1102"/>
  <c r="H1102" l="1"/>
  <c r="I1102" s="1"/>
  <c r="J1102" s="1"/>
  <c r="K1102" s="1"/>
  <c r="R1102"/>
  <c r="B1104"/>
  <c r="D1103"/>
  <c r="E1103"/>
  <c r="C1103"/>
  <c r="R1103" s="1"/>
  <c r="F1103"/>
  <c r="G1103"/>
  <c r="D1104" l="1"/>
  <c r="G1104"/>
  <c r="C1104"/>
  <c r="F1104"/>
  <c r="E1104"/>
  <c r="H1104" s="1"/>
  <c r="H1103"/>
  <c r="I1103" s="1"/>
  <c r="J1103" s="1"/>
  <c r="K1103" s="1"/>
  <c r="R1104" l="1"/>
  <c r="I1104"/>
  <c r="J1104" s="1"/>
  <c r="K1104" s="1"/>
  <c r="AD122" i="17"/>
  <c r="AC122" s="1"/>
  <c r="AB122" s="1"/>
  <c r="AA122" s="1"/>
  <c r="Z122" s="1"/>
  <c r="Y122" s="1"/>
  <c r="AE122" l="1"/>
  <c r="P131"/>
  <c r="BB33"/>
  <c r="BA33" s="1"/>
  <c r="AZ33" s="1"/>
  <c r="AY33" s="1"/>
  <c r="AX33" s="1"/>
  <c r="AW33" s="1"/>
  <c r="BC33" s="1"/>
</calcChain>
</file>

<file path=xl/comments1.xml><?xml version="1.0" encoding="utf-8"?>
<comments xmlns="http://schemas.openxmlformats.org/spreadsheetml/2006/main">
  <authors>
    <author>catimenu@yahoo.es</author>
  </authors>
  <commentList>
    <comment ref="C10" authorId="0">
      <text>
        <r>
          <rPr>
            <b/>
            <sz val="11"/>
            <color indexed="81"/>
            <rFont val="Tahoma"/>
            <family val="2"/>
          </rPr>
          <t>Introduce en esta casilla un año entre 1 i 9999</t>
        </r>
      </text>
    </comment>
  </commentList>
</comments>
</file>

<file path=xl/comments2.xml><?xml version="1.0" encoding="utf-8"?>
<comments xmlns="http://schemas.openxmlformats.org/spreadsheetml/2006/main">
  <authors>
    <author>Joaquin</author>
  </authors>
  <commentList>
    <comment ref="V4" authorId="0">
      <text>
        <r>
          <rPr>
            <sz val="9"/>
            <color indexed="81"/>
            <rFont val="Tahoma"/>
            <family val="2"/>
          </rPr>
          <t xml:space="preserve">Insertar el año en la Hoja de Inicio </t>
        </r>
      </text>
    </comment>
  </commentList>
</comments>
</file>

<file path=xl/sharedStrings.xml><?xml version="1.0" encoding="utf-8"?>
<sst xmlns="http://schemas.openxmlformats.org/spreadsheetml/2006/main" count="2867" uniqueCount="797">
  <si>
    <t>g</t>
  </si>
  <si>
    <t>i</t>
  </si>
  <si>
    <t>y\4</t>
  </si>
  <si>
    <t>j</t>
  </si>
  <si>
    <t>p</t>
  </si>
  <si>
    <t>c</t>
  </si>
  <si>
    <t>Centuria</t>
  </si>
  <si>
    <t>c\4</t>
  </si>
  <si>
    <t>h</t>
  </si>
  <si>
    <t>8c+13\25</t>
  </si>
  <si>
    <t>h\28</t>
  </si>
  <si>
    <t>29\(h+1)</t>
  </si>
  <si>
    <t>(21-g)\11</t>
  </si>
  <si>
    <t>c = y \ 100</t>
  </si>
  <si>
    <t>h = (c - c \ 4 - (8 * c + 13) \ 25 + 19 * g + 15) Mod 30</t>
  </si>
  <si>
    <t>i = h - (h \ 28) * (1 - (h \ 28) * (29 \ (h + 1)) * ((21 - g) \ 11))</t>
  </si>
  <si>
    <t>j = (y + y \ 4 + i + 2 - c + c \ 4) Mod 7</t>
  </si>
  <si>
    <t>p = i - j + e</t>
  </si>
  <si>
    <t>d = 1 + (p + 27 + (p + 6) \ 40) Mod 31</t>
  </si>
  <si>
    <t>(p+6)\40</t>
  </si>
  <si>
    <t>m = 3 + (p + 26) \ 30</t>
  </si>
  <si>
    <t>(p+26)\30</t>
  </si>
  <si>
    <t>dia</t>
  </si>
  <si>
    <t>mes</t>
  </si>
  <si>
    <t>DIA SEMANA</t>
  </si>
  <si>
    <t>Número días a sumar al 21 de marzo hasta la Luna Llena</t>
  </si>
  <si>
    <t>Año (326-4099 DJC)</t>
  </si>
  <si>
    <t>Del año 326 al 1582- Calendario juliano</t>
  </si>
  <si>
    <t>Del año 1583 al 4099- Calendario gregoriano</t>
  </si>
  <si>
    <t>d=dia Pascua</t>
  </si>
  <si>
    <t>m=mes Pascua</t>
  </si>
  <si>
    <t>CÁLCULO DE LA PASCUA DE RESURRECCIÓN</t>
  </si>
  <si>
    <t>ESTA HOJA SIRVE PARA CALCULAR LA FECHA DE LA PASCUA CRISTIANA</t>
  </si>
  <si>
    <t>AÑO</t>
  </si>
  <si>
    <t>PASCUA</t>
  </si>
  <si>
    <t>CÁLCULO FIESTAS MOVIBLES DEL AÑO</t>
  </si>
  <si>
    <t>CARNAVALES</t>
  </si>
  <si>
    <t>La semana anterior al miércoles de ceniza</t>
  </si>
  <si>
    <t>CUARESMA</t>
  </si>
  <si>
    <t>MIÉRCOLES DE CENIZA</t>
  </si>
  <si>
    <t>CENIZA</t>
  </si>
  <si>
    <t>SEMANA SANTA</t>
  </si>
  <si>
    <t>DOMINGO RAMOS</t>
  </si>
  <si>
    <t>JUEVES SANTO</t>
  </si>
  <si>
    <t>VIERNES SANTO</t>
  </si>
  <si>
    <t>DOMINGO</t>
  </si>
  <si>
    <t>LUNES</t>
  </si>
  <si>
    <t>CORPUS</t>
  </si>
  <si>
    <t>CORAZÓN DE JESÚS</t>
  </si>
  <si>
    <t>Per Joaquim Carbó Miralles</t>
  </si>
  <si>
    <t>y</t>
  </si>
  <si>
    <t>(23-epacta) Mod 30</t>
  </si>
  <si>
    <t>e</t>
  </si>
  <si>
    <t>If y &gt; 1600 Then e = e + y \ 100 - 16 - (y \ 100 - 16) \ 4</t>
  </si>
  <si>
    <t>y\100</t>
  </si>
  <si>
    <t>(y\100-16)\4</t>
  </si>
  <si>
    <t>Dias que se suprimieron al pasar al calendario gregoriano</t>
  </si>
  <si>
    <t>Días a suprimir al cal. Gregoriano para pasarlo al cal.juliano</t>
  </si>
  <si>
    <t>i = h - IntDiv(h, 28) * (1 - IntDiv(h, 28) * IntDiv(29, h + 1)*Int(21-g,11))</t>
  </si>
  <si>
    <t>OPERACIÓN</t>
  </si>
  <si>
    <t>VALOR</t>
  </si>
  <si>
    <t>RESTO</t>
  </si>
  <si>
    <t>1.Divide el año por 19</t>
  </si>
  <si>
    <t>2.Divide el año por 100</t>
  </si>
  <si>
    <t>3.Divide b por 4</t>
  </si>
  <si>
    <t>4.Divide (b+8) por 25</t>
  </si>
  <si>
    <t>----</t>
  </si>
  <si>
    <t>5.Divide (b-f+1) por 3</t>
  </si>
  <si>
    <t>6.Divide (19a+b-d-g+15) por 30</t>
  </si>
  <si>
    <t>-----</t>
  </si>
  <si>
    <t>7.Divide c por 4</t>
  </si>
  <si>
    <t>8.Divide 32+2e+2i-h-k por 7</t>
  </si>
  <si>
    <t>9.Divide a+11h+22l por 451</t>
  </si>
  <si>
    <t>10.Divide h+l-7m+114 por 31</t>
  </si>
  <si>
    <t>a</t>
  </si>
  <si>
    <t>b</t>
  </si>
  <si>
    <t>d</t>
  </si>
  <si>
    <t>f</t>
  </si>
  <si>
    <t>k</t>
  </si>
  <si>
    <t>l</t>
  </si>
  <si>
    <t>m</t>
  </si>
  <si>
    <t>n</t>
  </si>
  <si>
    <t>MES</t>
  </si>
  <si>
    <t>DIA</t>
  </si>
  <si>
    <t>COCIE</t>
  </si>
  <si>
    <t>COCIEN</t>
  </si>
  <si>
    <t>g = year % 19;</t>
  </si>
  <si>
    <t>c = IntDiv(year, 100);</t>
  </si>
  <si>
    <t>centuria</t>
  </si>
  <si>
    <t>IntDiv(c,4)</t>
  </si>
  <si>
    <t>IntDiv(8*c+13,25)</t>
  </si>
  <si>
    <t>h = (c - IntDiv(c, 4) - IntDiv(8 * c + 13, 25) + 19 * g + 15) % 30;</t>
  </si>
  <si>
    <t>IntDiv(h,28)</t>
  </si>
  <si>
    <t>IntDiv(29,h+1)</t>
  </si>
  <si>
    <t>IntDiv(21 - g, 11)</t>
  </si>
  <si>
    <t>IntDiv(year,4)</t>
  </si>
  <si>
    <t>j = (year + IntDiv(year, 4) + i + 2 - c + IntDiv(c, 4)) % 7;</t>
  </si>
  <si>
    <t>p = i - j + 28;</t>
  </si>
  <si>
    <t>dia=p</t>
  </si>
  <si>
    <t>if (p &gt; 31)</t>
  </si>
  <si>
    <t>wDay = p - 31;</t>
  </si>
  <si>
    <t>wMonth = 4;</t>
  </si>
  <si>
    <t>i = (19 * g + 15) % 30;</t>
  </si>
  <si>
    <t>j = (year + IntDiv(year, 4) + i) % 7;</t>
  </si>
  <si>
    <t>jMonth = 4;</t>
  </si>
  <si>
    <t>22+d+e marzo</t>
  </si>
  <si>
    <t>d+e-9 abril</t>
  </si>
  <si>
    <t>a=  resto año/19</t>
  </si>
  <si>
    <t>b= resto año/4</t>
  </si>
  <si>
    <t>c= resto año/7</t>
  </si>
  <si>
    <t>d= resto (19a+m)/30</t>
  </si>
  <si>
    <t>19*(IntDiv(year,19)+15</t>
  </si>
  <si>
    <t>19*(resto año/19)</t>
  </si>
  <si>
    <t>resto(año/19)</t>
  </si>
  <si>
    <t>a/b</t>
  </si>
  <si>
    <t>a\b</t>
  </si>
  <si>
    <t>IntDiv(a,b)</t>
  </si>
  <si>
    <t>a Mod B</t>
  </si>
  <si>
    <t>a dividido b</t>
  </si>
  <si>
    <t>cociente entero a dividido b</t>
  </si>
  <si>
    <t>year= año</t>
  </si>
  <si>
    <t>IntDiv (year, b) : Cociente entero año/b</t>
  </si>
  <si>
    <t>year %b= Resto (año/b)</t>
  </si>
  <si>
    <t>i=</t>
  </si>
  <si>
    <t>j=</t>
  </si>
  <si>
    <t>Núm.días desde 21-03 al Domingo anterior a Pascua</t>
  </si>
  <si>
    <t>(0:Domingo-1:Lunes- 2:Martes- 3: Miércoles- ........6: Sábado)</t>
  </si>
  <si>
    <t>p=</t>
  </si>
  <si>
    <t>y/19=</t>
  </si>
  <si>
    <t>y= año</t>
  </si>
  <si>
    <t>Día de la semana Luna Llena (0: Domingo..........6: Sábado)</t>
  </si>
  <si>
    <t>Día de la semana Luna Llena (0: Domingo.......6: Sábado)</t>
  </si>
  <si>
    <t>resto a dividido b</t>
  </si>
  <si>
    <t>(19x(año/19+15) Mod 19)  Mod 30</t>
  </si>
  <si>
    <t>i= número de días desde el 21 de marzo a la primera Luna Llena que determina la Pascua</t>
  </si>
  <si>
    <t>De l'any 1583 al 4099</t>
  </si>
  <si>
    <t>i= Número de días desde el 21 de marzo a la primera Luna Llena</t>
  </si>
  <si>
    <t>PUEDES INTRODUCIR EL AÑO DESDE LA HOJA PRINCIPAL</t>
  </si>
  <si>
    <t>Livius</t>
  </si>
  <si>
    <t>A = year MOD 19 + 1</t>
  </si>
  <si>
    <t>B = year DIV 100 + 1</t>
  </si>
  <si>
    <t>C = (3 x B) DIV 4 - 12</t>
  </si>
  <si>
    <t>D = (8 x B + 5) DIV 25 - 5</t>
  </si>
  <si>
    <t>E = (year x 5) DIV 4 - 10 - C</t>
  </si>
  <si>
    <t>F = ( (11 x A + 20 + D - C) MOD 30 + 30) MOD 30</t>
  </si>
  <si>
    <t>(the double MOD prevents F to go below zero for large years)</t>
  </si>
  <si>
    <t>if F = 24 or (F = 25 and A &gt; 11) then F = F + 1</t>
  </si>
  <si>
    <t>G = 44 - F</t>
  </si>
  <si>
    <t>if G &lt; 21 then G = G + 30</t>
  </si>
  <si>
    <r>
      <t>result</t>
    </r>
    <r>
      <rPr>
        <sz val="10"/>
        <rFont val="Arial"/>
        <family val="2"/>
      </rPr>
      <t xml:space="preserve"> = G + 7 - (E + G) MOD 7</t>
    </r>
  </si>
  <si>
    <t>A L G O R I T H M :</t>
  </si>
  <si>
    <t>HR:</t>
  </si>
  <si>
    <t>P = year DIV 100</t>
  </si>
  <si>
    <r>
      <t xml:space="preserve">Q = (3 x P + 3) DIV 4   </t>
    </r>
    <r>
      <rPr>
        <sz val="7.5"/>
        <color indexed="18"/>
        <rFont val="Arial"/>
        <family val="2"/>
      </rPr>
      <t>(or: Q = P - P DIV 4)</t>
    </r>
  </si>
  <si>
    <t>R = (8 x P + 13) DIV 25</t>
  </si>
  <si>
    <t>M = (15 + Q - R) MOD 30</t>
  </si>
  <si>
    <t>N = (4  +  Q) MOD 7</t>
  </si>
  <si>
    <r>
      <t>Most sources simply state: for the 20</t>
    </r>
    <r>
      <rPr>
        <vertAlign val="superscript"/>
        <sz val="7.5"/>
        <rFont val="Arial"/>
        <family val="2"/>
      </rPr>
      <t>st</t>
    </r>
    <r>
      <rPr>
        <sz val="7.5"/>
        <rFont val="Arial"/>
        <family val="2"/>
      </rPr>
      <t xml:space="preserve"> and 21</t>
    </r>
    <r>
      <rPr>
        <vertAlign val="superscript"/>
        <sz val="7.5"/>
        <rFont val="Arial"/>
        <family val="2"/>
      </rPr>
      <t>st</t>
    </r>
    <r>
      <rPr>
        <sz val="7.5"/>
        <rFont val="Arial"/>
        <family val="2"/>
      </rPr>
      <t xml:space="preserve"> century M = 24 and N = 5.</t>
    </r>
  </si>
  <si>
    <t>Gauss:</t>
  </si>
  <si>
    <t>A = year MOD 19</t>
  </si>
  <si>
    <t>B = year MOD 4</t>
  </si>
  <si>
    <t>C = year MOD 7</t>
  </si>
  <si>
    <t>D = (19 x A + M) MOD 30</t>
  </si>
  <si>
    <t>E = (2 x B + 4 x C + 6 x D + N) MOD 7</t>
  </si>
  <si>
    <t>F = 22 + D + E</t>
  </si>
  <si>
    <t>if F = 57 or (F = 56 and E = 6 and A &gt; 10) then F = F - 7</t>
  </si>
  <si>
    <r>
      <t>result</t>
    </r>
    <r>
      <rPr>
        <sz val="10"/>
        <rFont val="Arial"/>
        <family val="2"/>
      </rPr>
      <t xml:space="preserve"> = F</t>
    </r>
  </si>
  <si>
    <t>PARA CUALQUER AÑO DESDE 326 A 4099</t>
  </si>
  <si>
    <r>
      <t>result</t>
    </r>
    <r>
      <rPr>
        <sz val="10"/>
        <rFont val="Arial"/>
        <family val="2"/>
      </rPr>
      <t xml:space="preserve"> = 22 + H + L - 7 x M</t>
    </r>
  </si>
  <si>
    <t>Epacta: Edad de La Luna el 1 de Enero</t>
  </si>
  <si>
    <t>Número áureo</t>
  </si>
  <si>
    <r>
      <t>Julian</t>
    </r>
    <r>
      <rPr>
        <u/>
        <sz val="10"/>
        <rFont val="Arial"/>
        <family val="2"/>
      </rPr>
      <t> method</t>
    </r>
    <r>
      <rPr>
        <sz val="10"/>
        <rFont val="Arial"/>
        <family val="2"/>
      </rPr>
      <t> (any year since A.D. 1)</t>
    </r>
  </si>
  <si>
    <r>
      <t>Gregorian</t>
    </r>
    <r>
      <rPr>
        <u/>
        <sz val="10"/>
        <rFont val="Arial"/>
        <family val="2"/>
      </rPr>
      <t> method</t>
    </r>
    <r>
      <rPr>
        <sz val="10"/>
        <rFont val="Arial"/>
        <family val="2"/>
      </rPr>
      <t> (any year since 1583)</t>
    </r>
  </si>
  <si>
    <t>B = year MOD 7</t>
  </si>
  <si>
    <t> B = year DIV 100</t>
  </si>
  <si>
    <t>C = year MOD 4</t>
  </si>
  <si>
    <t> C = year MOD 100</t>
  </si>
  <si>
    <t>D = (19 x A + 15) MOD 30</t>
  </si>
  <si>
    <t> D = B DIV 4</t>
  </si>
  <si>
    <t>E = (2 x C + 4 x B - D + 34) MOD 7</t>
  </si>
  <si>
    <t> E = B MOD 4</t>
  </si>
  <si>
    <r>
      <t>result</t>
    </r>
    <r>
      <rPr>
        <sz val="10"/>
        <rFont val="Arial"/>
        <family val="2"/>
      </rPr>
      <t xml:space="preserve"> = 22 + D + E</t>
    </r>
  </si>
  <si>
    <t> F = (B + 8) DIV 25</t>
  </si>
  <si>
    <t> G = (B - F + 1) DIV 3</t>
  </si>
  <si>
    <t> H = (19 x A + B - D - G + 15) MOD 30</t>
  </si>
  <si>
    <t> I = C DIV 4</t>
  </si>
  <si>
    <t> K = C MOD 4</t>
  </si>
  <si>
    <t> L = (32 + 2 x E + 2 x I - H - K) MOD 7</t>
  </si>
  <si>
    <t> M = (A + 11 x H + 22 x L) DIV 451</t>
  </si>
  <si>
    <r>
      <t> </t>
    </r>
    <r>
      <rPr>
        <b/>
        <sz val="10"/>
        <rFont val="Arial"/>
        <family val="2"/>
      </rPr>
      <t>result</t>
    </r>
    <r>
      <rPr>
        <sz val="10"/>
        <rFont val="Arial"/>
        <family val="2"/>
      </rPr>
      <t xml:space="preserve"> = 22 + H + L - 7 x M</t>
    </r>
  </si>
  <si>
    <t>G = year MOD 19</t>
  </si>
  <si>
    <t> C = year DIV 100</t>
  </si>
  <si>
    <t> D = C - C DIV 4</t>
  </si>
  <si>
    <t> E = (8 x C + 13) DIV 25</t>
  </si>
  <si>
    <t>I = (19x G + 15) MOD 30</t>
  </si>
  <si>
    <t> H = (D - E + 19 x G + 15) MOD 30</t>
  </si>
  <si>
    <t> K = H DIV 28</t>
  </si>
  <si>
    <t> P = 29 DIV (H + 1)</t>
  </si>
  <si>
    <t> Q = (21 - G) DIV 11</t>
  </si>
  <si>
    <t> I = H - K x (1 - K x P x Q)</t>
  </si>
  <si>
    <t>J = (year + year DIV 4 + I) MOD 7</t>
  </si>
  <si>
    <t> J = (year + year DIV 4 + I + 2 - D) MOD 7</t>
  </si>
  <si>
    <r>
      <t>result</t>
    </r>
    <r>
      <rPr>
        <sz val="10"/>
        <rFont val="Arial"/>
        <family val="2"/>
      </rPr>
      <t xml:space="preserve"> = 28 + I - J</t>
    </r>
  </si>
  <si>
    <t>De l'any 326 al 1582</t>
  </si>
  <si>
    <t>Año (326-1582 DJC)</t>
  </si>
  <si>
    <t>ÚNICAMENTE PUEDES MODIFICAR LA CASILLA COLOREADA DE VERDE</t>
  </si>
  <si>
    <t>PENTECOSTÉS</t>
  </si>
  <si>
    <t>DATA ACTUAL</t>
  </si>
  <si>
    <t>PRIMER TRIMESTRE</t>
  </si>
  <si>
    <t>SEGON TRIMESTRE</t>
  </si>
  <si>
    <t>Primers dies mes</t>
  </si>
  <si>
    <t>29/02/</t>
  </si>
  <si>
    <t>S</t>
  </si>
  <si>
    <t>CÀLCUL PASQUA</t>
  </si>
  <si>
    <t>ANY</t>
  </si>
  <si>
    <t>DIA:</t>
  </si>
  <si>
    <t>MES:</t>
  </si>
  <si>
    <t>22+d+e març</t>
  </si>
  <si>
    <t>a=</t>
  </si>
  <si>
    <t>MES MANUAL</t>
  </si>
  <si>
    <t>b=</t>
  </si>
  <si>
    <t>a=  resta any/19</t>
  </si>
  <si>
    <t>c=</t>
  </si>
  <si>
    <t>V</t>
  </si>
  <si>
    <t>b= resta any/4</t>
  </si>
  <si>
    <t>d=</t>
  </si>
  <si>
    <t>c= resta any/7</t>
  </si>
  <si>
    <t>e=</t>
  </si>
  <si>
    <t>PASQUA</t>
  </si>
  <si>
    <t>e= resta (2b+4c+6d+n)/30</t>
  </si>
  <si>
    <t>D</t>
  </si>
  <si>
    <t>m=24</t>
  </si>
  <si>
    <t>ABRIL</t>
  </si>
  <si>
    <t>n=5</t>
  </si>
  <si>
    <t>M</t>
  </si>
  <si>
    <t>DIJOUS SANT</t>
  </si>
  <si>
    <t>SANT VICENT</t>
  </si>
  <si>
    <t>L</t>
  </si>
  <si>
    <t>SANT CRISTÒFOL</t>
  </si>
  <si>
    <t>DILLUNS MAGDALENA</t>
  </si>
  <si>
    <t>CARNESTOLTES</t>
  </si>
  <si>
    <t>J</t>
  </si>
  <si>
    <t>SANT ROC</t>
  </si>
  <si>
    <t>CALENDARIO AÑO</t>
  </si>
  <si>
    <t>01/01/</t>
  </si>
  <si>
    <t>SEM</t>
  </si>
  <si>
    <t>X</t>
  </si>
  <si>
    <t>DIAS</t>
  </si>
  <si>
    <t>S. VICENTE F.</t>
  </si>
  <si>
    <t>LUN.MAGDALENA</t>
  </si>
  <si>
    <t>MIER.CENIZA</t>
  </si>
  <si>
    <t>CORPUS (DOM.SIGU)</t>
  </si>
  <si>
    <t>Semana de Carnaval. Días anteriores al Miércoles de Ceniza</t>
  </si>
  <si>
    <t>Nota: El programa garantiza los resultados sólo del año 1901 al 2100. Para proteger las fórmulas sólo se pueden modificar las celdas en color verde</t>
  </si>
  <si>
    <t>(en azul en el calendario)</t>
  </si>
  <si>
    <t>ENERO</t>
  </si>
  <si>
    <t>FEBRERO</t>
  </si>
  <si>
    <t>MARZO</t>
  </si>
  <si>
    <t>MAYO</t>
  </si>
  <si>
    <t>JUNIO</t>
  </si>
  <si>
    <t>JULIO</t>
  </si>
  <si>
    <t>AGOSTO</t>
  </si>
  <si>
    <t>SEPTIEMBRE</t>
  </si>
  <si>
    <t>NOVIEMBRE</t>
  </si>
  <si>
    <t>DICIEMBRE</t>
  </si>
  <si>
    <t>OCTUBRE</t>
  </si>
  <si>
    <t>FIESTAS  DEL AÑO</t>
  </si>
  <si>
    <t>Fiestas nacionales</t>
  </si>
  <si>
    <t>Fiestas autonómicas</t>
  </si>
  <si>
    <t>Fiestas locales</t>
  </si>
  <si>
    <t>Domingos</t>
  </si>
  <si>
    <t>Pascua Resurrección</t>
  </si>
  <si>
    <t>ASCENSIÓN</t>
  </si>
  <si>
    <t>LUNA NUEVA PASCUAL</t>
  </si>
  <si>
    <t>Nº Aúreo</t>
  </si>
  <si>
    <t>Ciclo lunar</t>
  </si>
  <si>
    <t>Condición de año bisiesto (1)</t>
  </si>
  <si>
    <t>FECHA(dd/mm/AAAA)</t>
  </si>
  <si>
    <t xml:space="preserve">DIA   </t>
  </si>
  <si>
    <t>Domingo</t>
  </si>
  <si>
    <t>Lunes</t>
  </si>
  <si>
    <t>Martes</t>
  </si>
  <si>
    <t>Miércoles</t>
  </si>
  <si>
    <t>Jueves</t>
  </si>
  <si>
    <t>Viernes</t>
  </si>
  <si>
    <t>Sábado</t>
  </si>
  <si>
    <t>DIAS DESDE EL 01-01-01</t>
  </si>
  <si>
    <t>Año</t>
  </si>
  <si>
    <t xml:space="preserve">Enero </t>
  </si>
  <si>
    <t>01</t>
  </si>
  <si>
    <t xml:space="preserve">Febrero </t>
  </si>
  <si>
    <t>02</t>
  </si>
  <si>
    <t>Marzo</t>
  </si>
  <si>
    <t>03</t>
  </si>
  <si>
    <t>Abril</t>
  </si>
  <si>
    <t>04</t>
  </si>
  <si>
    <t>Mayo</t>
  </si>
  <si>
    <t>05</t>
  </si>
  <si>
    <t>Junio</t>
  </si>
  <si>
    <t>06</t>
  </si>
  <si>
    <t>Julio</t>
  </si>
  <si>
    <t>07</t>
  </si>
  <si>
    <t>Agosto</t>
  </si>
  <si>
    <t>08</t>
  </si>
  <si>
    <t>Septiembre</t>
  </si>
  <si>
    <t>09</t>
  </si>
  <si>
    <t>Octubre</t>
  </si>
  <si>
    <t>10</t>
  </si>
  <si>
    <t>Noviembre</t>
  </si>
  <si>
    <t>11</t>
  </si>
  <si>
    <t>Diciembre</t>
  </si>
  <si>
    <t>12</t>
  </si>
  <si>
    <t>Epacta gregoriana</t>
  </si>
  <si>
    <t xml:space="preserve">Epacta juliana </t>
  </si>
  <si>
    <t>LUNA</t>
  </si>
  <si>
    <t>22/03/</t>
  </si>
  <si>
    <t>Epacta Alejandrina</t>
  </si>
  <si>
    <t>Epacta juliana</t>
  </si>
  <si>
    <t>EPACTA JULIANA</t>
  </si>
  <si>
    <t>Luna Nueva</t>
  </si>
  <si>
    <t>Cuarto Creciente</t>
  </si>
  <si>
    <t>Luna Llena</t>
  </si>
  <si>
    <t>Cuarto Menguante</t>
  </si>
  <si>
    <t>LUNA PASCUAL</t>
  </si>
  <si>
    <t>Año entre 325 y 1582(1)</t>
  </si>
  <si>
    <t>Cálculo dia Luna Llena Pascual</t>
  </si>
  <si>
    <t>Concurrente+ Regular pascual- 7</t>
  </si>
  <si>
    <t>Del año 326 al 4099</t>
  </si>
  <si>
    <t>j= (year + IntDiv(year, 4) + i) % 7;</t>
  </si>
  <si>
    <t>jday=p</t>
  </si>
  <si>
    <t>jmonth=4</t>
  </si>
  <si>
    <t xml:space="preserve">jday </t>
  </si>
  <si>
    <t xml:space="preserve">jmonth </t>
  </si>
  <si>
    <t>i = h - IntDiv(h, 28) * (1 - IntDiv(h, 28)</t>
  </si>
  <si>
    <t xml:space="preserve">      * IntDiv(29, h + 1) * IntDiv(21 - g, 11));</t>
  </si>
  <si>
    <t xml:space="preserve">   j = (year + IntDiv(year, 4) + i + 2 - c + IntDiv(c, 4)) % 7;</t>
  </si>
  <si>
    <t xml:space="preserve"> p = i - j + 28;</t>
  </si>
  <si>
    <t xml:space="preserve">   wDay = p;</t>
  </si>
  <si>
    <t xml:space="preserve">   wMonth = 4;</t>
  </si>
  <si>
    <t>wDay</t>
  </si>
  <si>
    <t>Wmonth</t>
  </si>
  <si>
    <t>Extra</t>
  </si>
  <si>
    <t>tmp</t>
  </si>
  <si>
    <t>tmp = IntDiv(yr, 100) - 16;</t>
  </si>
  <si>
    <t>extra</t>
  </si>
  <si>
    <t>oDay</t>
  </si>
  <si>
    <t>oMonth</t>
  </si>
  <si>
    <t>oDay = jDay + extra;</t>
  </si>
  <si>
    <t xml:space="preserve">      oMonth = jMonth;</t>
  </si>
  <si>
    <t xml:space="preserve">      if ((oMonth == 3) &amp;&amp; (oDay &gt; 31)) {</t>
  </si>
  <si>
    <t xml:space="preserve">         oMonth = 4;</t>
  </si>
  <si>
    <t xml:space="preserve">         oDay = oDay - 31;</t>
  </si>
  <si>
    <t xml:space="preserve">      }</t>
  </si>
  <si>
    <t xml:space="preserve">      if ((oMonth == 4) &amp;&amp; (oDay &gt; 30)) {</t>
  </si>
  <si>
    <t xml:space="preserve">         oMonth = 5;</t>
  </si>
  <si>
    <t xml:space="preserve">         oDay = oDay - 30;</t>
  </si>
  <si>
    <t>if ((yr &gt; 1582) &amp;&amp; (yr &lt;= 4099)) {</t>
  </si>
  <si>
    <t xml:space="preserve">      extra = 10;</t>
  </si>
  <si>
    <t>CALENDARIO ORTODOXO</t>
  </si>
  <si>
    <t>CALENDARIO GREGORIANO</t>
  </si>
  <si>
    <t>Edn</t>
  </si>
  <si>
    <t>Edm</t>
  </si>
  <si>
    <t>¿Es año bisiesto?</t>
  </si>
  <si>
    <t>Edd</t>
  </si>
  <si>
    <t>GN</t>
  </si>
  <si>
    <t>JE</t>
  </si>
  <si>
    <t>Century</t>
  </si>
  <si>
    <t>SE</t>
  </si>
  <si>
    <t>LE</t>
  </si>
  <si>
    <t>Epn</t>
  </si>
  <si>
    <t>SL</t>
  </si>
  <si>
    <t>Dias desde 01-01-01</t>
  </si>
  <si>
    <t>j-k+m</t>
  </si>
  <si>
    <t>jDay = p;</t>
  </si>
  <si>
    <t xml:space="preserve">   jMonth = 4;</t>
  </si>
  <si>
    <t xml:space="preserve">   if (p &gt; 31)</t>
  </si>
  <si>
    <t xml:space="preserve">      jDay = p - 31;</t>
  </si>
  <si>
    <t xml:space="preserve">   else</t>
  </si>
  <si>
    <t xml:space="preserve">      jMonth = 3;</t>
  </si>
  <si>
    <t xml:space="preserve">      wDay = p - 31;</t>
  </si>
  <si>
    <t xml:space="preserve">      wMonth = 3;</t>
  </si>
  <si>
    <t xml:space="preserve"> else</t>
  </si>
  <si>
    <t xml:space="preserve">   if (yr &gt; 1600)</t>
  </si>
  <si>
    <t xml:space="preserve">CALENDARIO JULIANO </t>
  </si>
  <si>
    <t>&lt;1582</t>
  </si>
  <si>
    <t>&gt;1582</t>
  </si>
  <si>
    <t>=IF(OR(MOD(A1,400)=0,AND(MOD(A1,4)=0,MOD(A1,100)&lt;&gt;0)),"Año bisiesto", "No es un año bisiesto")</t>
  </si>
  <si>
    <t>=SI(DIA(FIN.MES(FECHA(A2,2,1),0)) = 29, VERDADERO)</t>
  </si>
  <si>
    <t>Que el año sea divisible entre 400</t>
  </si>
  <si>
    <t>Que el año sea divisible entre 4 pero que no sea divisible entre 100 (a partir del año 1582)</t>
  </si>
  <si>
    <t>Que el año sea divisible entre 4 (calendario juliano &lt;1583)</t>
  </si>
  <si>
    <t>=SI(FECHA(A2+1,1,1) - FECHA(A2,1,1) = 366, VERDADERO)</t>
  </si>
  <si>
    <t>=SI(DIA(FECHA(A2,3,0)) = 29, VERDADERO)</t>
  </si>
  <si>
    <t>(0 Marzo=29 febrero)</t>
  </si>
  <si>
    <t>=SI(DIASEM(FECHA(A2,2,1)) = DIASEM(FECHA(A2,3,0)), VERDADERO)</t>
  </si>
  <si>
    <t>(febrero bisiesto empieza y termina el mismo dia de la semana</t>
  </si>
  <si>
    <t xml:space="preserve"> If ((año Mod 4 = 0) And (año Mod 100 &lt;&gt; 0)) Or (año Mod 400 = 0) Then</t>
  </si>
  <si>
    <t xml:space="preserve">            bisiesto = True 'Es bisiesto</t>
  </si>
  <si>
    <t>PASCUA GREGORIANA</t>
  </si>
  <si>
    <t>extra = extra + tmp - IntDiv(tmp, 4);</t>
  </si>
  <si>
    <t>o</t>
  </si>
  <si>
    <t>q</t>
  </si>
  <si>
    <t>Corpus</t>
  </si>
  <si>
    <t>SANT PERE</t>
  </si>
  <si>
    <t>PRIMER DIA</t>
  </si>
  <si>
    <t>SEGON DIA</t>
  </si>
  <si>
    <t>may</t>
  </si>
  <si>
    <t>PASCUA GREGORIANA (1583-9999)</t>
  </si>
  <si>
    <t>S. Antoni</t>
  </si>
  <si>
    <t>ago</t>
  </si>
  <si>
    <t>FESTES AGOST</t>
  </si>
  <si>
    <t>COMENÇAMENT</t>
  </si>
  <si>
    <t>FINAL</t>
  </si>
  <si>
    <t>Vacaciones escolares</t>
  </si>
  <si>
    <t>A</t>
  </si>
  <si>
    <t>B</t>
  </si>
  <si>
    <t>C</t>
  </si>
  <si>
    <t>E</t>
  </si>
  <si>
    <t>F</t>
  </si>
  <si>
    <t>G</t>
  </si>
  <si>
    <t>N</t>
  </si>
  <si>
    <t>d+e</t>
  </si>
  <si>
    <t>Pascua de Resurrección</t>
  </si>
  <si>
    <t>Entre</t>
  </si>
  <si>
    <t>Mes</t>
  </si>
  <si>
    <t>ENTRE</t>
  </si>
  <si>
    <t>i: días a sumar al 21 de marzo para encontrar la primera luna llena de primavera (pascual)</t>
  </si>
  <si>
    <t>Num. Aureo</t>
  </si>
  <si>
    <t>CONCURRENTE PASQUAL</t>
  </si>
  <si>
    <t>CICLO LUNAR</t>
  </si>
  <si>
    <t>REGULAR PASCUAL</t>
  </si>
  <si>
    <t>EPACTA ALEJANDRINA</t>
  </si>
  <si>
    <t>e= resto (2b+4c+6d+n)/7</t>
  </si>
  <si>
    <t>Cálculo de la fecha de la Pascua de Resurrección- Método de Gauss</t>
  </si>
  <si>
    <t>(Desde el año 1 al año 1582)</t>
  </si>
  <si>
    <t>(Del año 1582 al año 9999)</t>
  </si>
  <si>
    <t>A. Resto año/19</t>
  </si>
  <si>
    <t>B. Resto año/7</t>
  </si>
  <si>
    <t>C. Resto año/4</t>
  </si>
  <si>
    <t>D. Resto ((19xA + 15)/30)</t>
  </si>
  <si>
    <t>E. Resto ((2 x C+ 4 x B - D + 34)/7)</t>
  </si>
  <si>
    <t>Resultado (22 + D + E)</t>
  </si>
  <si>
    <t>Número de oro</t>
  </si>
  <si>
    <t>Dia semana del 1 de enero</t>
  </si>
  <si>
    <t>Epacta (edad luna 1 enero)</t>
  </si>
  <si>
    <t>LETRA DOMINICAL</t>
  </si>
  <si>
    <t>Letra Dominical (1er domingo año)</t>
  </si>
  <si>
    <t>de Enero</t>
  </si>
  <si>
    <t>Concurrente (dias 31-12 a 01-01 año anterior)</t>
  </si>
  <si>
    <t>Indicción</t>
  </si>
  <si>
    <t>Epacta Alejandrina (epacta 22 marzo)</t>
  </si>
  <si>
    <t>Establecer el dia de la semana que es el 1 de enero</t>
  </si>
  <si>
    <t>Regular pascual</t>
  </si>
  <si>
    <t>Si Pascua es en Marzo vamos hacia atrás numero de dias pascua+ 28+ 31 + 1(si es año bisiesto)</t>
  </si>
  <si>
    <t>Luna Nueva Pascual</t>
  </si>
  <si>
    <t>Si Pascua cae en Abril vamos hacia atrás número de dias de pascua+ 30 + 28+ 31+ 1 (si es bisiesto)</t>
  </si>
  <si>
    <t>Luna Llena Pascual</t>
  </si>
  <si>
    <t>Fase lunar</t>
  </si>
  <si>
    <t>Domingo Pascual</t>
  </si>
  <si>
    <t>Dia Luna Llena Pascual=</t>
  </si>
  <si>
    <t>Concurrente+ Regular Pascual-7</t>
  </si>
  <si>
    <t>Dia semana 1 de Enero</t>
  </si>
  <si>
    <t>k= entero(año/100)</t>
  </si>
  <si>
    <t>p=entero(13+8*k)/25</t>
  </si>
  <si>
    <t>q=entero(k/4)</t>
  </si>
  <si>
    <t>19a</t>
  </si>
  <si>
    <t xml:space="preserve">d+e </t>
  </si>
  <si>
    <t>m=resto(15-p+k-q)/30</t>
  </si>
  <si>
    <t>n=resto((4+k-q);7)</t>
  </si>
  <si>
    <t>Para esta regla existen varias excepciones:</t>
  </si>
  <si>
    <r>
      <t>a</t>
    </r>
    <r>
      <rPr>
        <sz val="9"/>
        <rFont val="Arial"/>
        <family val="2"/>
      </rPr>
      <t xml:space="preserve"> es el resto de la división de </t>
    </r>
    <r>
      <rPr>
        <b/>
        <sz val="9"/>
        <rFont val="Arial"/>
        <family val="2"/>
      </rPr>
      <t>A</t>
    </r>
    <r>
      <rPr>
        <sz val="9"/>
        <rFont val="Arial"/>
        <family val="2"/>
      </rPr>
      <t xml:space="preserve"> entre </t>
    </r>
    <r>
      <rPr>
        <b/>
        <sz val="9"/>
        <rFont val="Arial"/>
        <family val="2"/>
      </rPr>
      <t>19</t>
    </r>
    <r>
      <rPr>
        <sz val="9"/>
        <rFont val="Arial"/>
        <family val="2"/>
      </rPr>
      <t xml:space="preserve"> , es decir, </t>
    </r>
    <r>
      <rPr>
        <b/>
        <i/>
        <sz val="9"/>
        <rFont val="Arial"/>
        <family val="2"/>
      </rPr>
      <t>A mod 19</t>
    </r>
    <r>
      <rPr>
        <b/>
        <sz val="9"/>
        <rFont val="Arial"/>
        <family val="2"/>
      </rPr>
      <t>  </t>
    </r>
  </si>
  <si>
    <r>
      <t>b</t>
    </r>
    <r>
      <rPr>
        <sz val="9"/>
        <rFont val="Arial"/>
        <family val="2"/>
      </rPr>
      <t xml:space="preserve"> es el resto de dividir </t>
    </r>
    <r>
      <rPr>
        <b/>
        <sz val="9"/>
        <rFont val="Arial"/>
        <family val="2"/>
      </rPr>
      <t>A</t>
    </r>
    <r>
      <rPr>
        <sz val="9"/>
        <rFont val="Arial"/>
        <family val="2"/>
      </rPr>
      <t xml:space="preserve">  entre </t>
    </r>
    <r>
      <rPr>
        <b/>
        <sz val="9"/>
        <rFont val="Arial"/>
        <family val="2"/>
      </rPr>
      <t>4</t>
    </r>
    <r>
      <rPr>
        <sz val="9"/>
        <rFont val="Arial"/>
        <family val="2"/>
      </rPr>
      <t xml:space="preserve"> , es decir,</t>
    </r>
    <r>
      <rPr>
        <b/>
        <i/>
        <sz val="9"/>
        <rFont val="Arial"/>
        <family val="2"/>
      </rPr>
      <t xml:space="preserve"> A mod 4</t>
    </r>
    <r>
      <rPr>
        <sz val="9"/>
        <rFont val="Arial"/>
        <family val="2"/>
      </rPr>
      <t> </t>
    </r>
  </si>
  <si>
    <r>
      <t>c</t>
    </r>
    <r>
      <rPr>
        <sz val="9"/>
        <rFont val="Arial"/>
        <family val="2"/>
      </rPr>
      <t xml:space="preserve"> es el resto de la división de </t>
    </r>
    <r>
      <rPr>
        <b/>
        <sz val="9"/>
        <rFont val="Arial"/>
        <family val="2"/>
      </rPr>
      <t>A</t>
    </r>
    <r>
      <rPr>
        <sz val="9"/>
        <rFont val="Arial"/>
        <family val="2"/>
      </rPr>
      <t xml:space="preserve"> entre </t>
    </r>
    <r>
      <rPr>
        <b/>
        <sz val="9"/>
        <rFont val="Arial"/>
        <family val="2"/>
      </rPr>
      <t>7</t>
    </r>
    <r>
      <rPr>
        <sz val="9"/>
        <rFont val="Arial"/>
        <family val="2"/>
      </rPr>
      <t xml:space="preserve">, esto es, </t>
    </r>
    <r>
      <rPr>
        <b/>
        <i/>
        <sz val="9"/>
        <rFont val="Arial"/>
        <family val="2"/>
      </rPr>
      <t>A mod 7</t>
    </r>
    <r>
      <rPr>
        <sz val="9"/>
        <rFont val="Arial"/>
        <family val="2"/>
      </rPr>
      <t> </t>
    </r>
  </si>
  <si>
    <r>
      <t>k</t>
    </r>
    <r>
      <rPr>
        <sz val="9"/>
        <rFont val="Arial"/>
        <family val="2"/>
      </rPr>
      <t xml:space="preserve"> es el resultado de redondear por defecto el resultado de la división de </t>
    </r>
    <r>
      <rPr>
        <b/>
        <sz val="9"/>
        <rFont val="Arial"/>
        <family val="2"/>
      </rPr>
      <t>A</t>
    </r>
    <r>
      <rPr>
        <sz val="9"/>
        <rFont val="Arial"/>
        <family val="2"/>
      </rPr>
      <t xml:space="preserve"> entre </t>
    </r>
    <r>
      <rPr>
        <b/>
        <sz val="9"/>
        <rFont val="Arial"/>
        <family val="2"/>
      </rPr>
      <t>100</t>
    </r>
    <r>
      <rPr>
        <sz val="9"/>
        <rFont val="Arial"/>
        <family val="2"/>
      </rPr>
      <t xml:space="preserve"> , es decir, </t>
    </r>
    <r>
      <rPr>
        <b/>
        <i/>
        <sz val="9"/>
        <rFont val="Arial"/>
        <family val="2"/>
      </rPr>
      <t>K=Int(A/100)</t>
    </r>
    <r>
      <rPr>
        <sz val="9"/>
        <rFont val="Arial"/>
        <family val="2"/>
      </rPr>
      <t> </t>
    </r>
  </si>
  <si>
    <r>
      <t>p</t>
    </r>
    <r>
      <rPr>
        <sz val="9"/>
        <rFont val="Arial"/>
        <family val="2"/>
      </rPr>
      <t xml:space="preserve"> es el resultado de redondear el resultado de la división de </t>
    </r>
    <r>
      <rPr>
        <b/>
        <i/>
        <sz val="9"/>
        <rFont val="Arial"/>
        <family val="2"/>
      </rPr>
      <t>13 + 8*k</t>
    </r>
    <r>
      <rPr>
        <sz val="9"/>
        <rFont val="Arial"/>
        <family val="2"/>
      </rPr>
      <t xml:space="preserve"> entre </t>
    </r>
    <r>
      <rPr>
        <b/>
        <sz val="9"/>
        <rFont val="Arial"/>
        <family val="2"/>
      </rPr>
      <t>25</t>
    </r>
    <r>
      <rPr>
        <sz val="9"/>
        <rFont val="Arial"/>
        <family val="2"/>
      </rPr>
      <t>, esto es, </t>
    </r>
    <r>
      <rPr>
        <b/>
        <i/>
        <sz val="9"/>
        <rFont val="Arial"/>
        <family val="2"/>
      </rPr>
      <t>p=Int((13+8*k)/25)</t>
    </r>
  </si>
  <si>
    <r>
      <t>q</t>
    </r>
    <r>
      <rPr>
        <sz val="9"/>
        <rFont val="Arial"/>
        <family val="2"/>
      </rPr>
      <t xml:space="preserve"> es el resultado de redondear el resultado de la división de </t>
    </r>
    <r>
      <rPr>
        <b/>
        <i/>
        <sz val="9"/>
        <rFont val="Arial"/>
        <family val="2"/>
      </rPr>
      <t>k</t>
    </r>
    <r>
      <rPr>
        <sz val="9"/>
        <rFont val="Arial"/>
        <family val="2"/>
      </rPr>
      <t xml:space="preserve"> entre </t>
    </r>
    <r>
      <rPr>
        <b/>
        <sz val="9"/>
        <rFont val="Arial"/>
        <family val="2"/>
      </rPr>
      <t>4</t>
    </r>
    <r>
      <rPr>
        <sz val="9"/>
        <rFont val="Arial"/>
        <family val="2"/>
      </rPr>
      <t xml:space="preserve"> , es decir,</t>
    </r>
    <r>
      <rPr>
        <b/>
        <i/>
        <sz val="9"/>
        <rFont val="Arial"/>
        <family val="2"/>
      </rPr>
      <t xml:space="preserve"> q= Int(k/4) </t>
    </r>
  </si>
  <si>
    <r>
      <t>M</t>
    </r>
    <r>
      <rPr>
        <sz val="9"/>
        <rFont val="Arial"/>
        <family val="2"/>
      </rPr>
      <t xml:space="preserve"> es el resto de dividir</t>
    </r>
    <r>
      <rPr>
        <b/>
        <i/>
        <sz val="9"/>
        <rFont val="Arial"/>
        <family val="2"/>
      </rPr>
      <t>15-p+k-q</t>
    </r>
    <r>
      <rPr>
        <sz val="9"/>
        <rFont val="Arial"/>
        <family val="2"/>
      </rPr>
      <t xml:space="preserve"> entre </t>
    </r>
    <r>
      <rPr>
        <b/>
        <sz val="9"/>
        <rFont val="Arial"/>
        <family val="2"/>
      </rPr>
      <t>30</t>
    </r>
    <r>
      <rPr>
        <sz val="9"/>
        <rFont val="Arial"/>
        <family val="2"/>
      </rPr>
      <t xml:space="preserve"> , esto es,</t>
    </r>
    <r>
      <rPr>
        <b/>
        <i/>
        <sz val="9"/>
        <rFont val="Arial"/>
        <family val="2"/>
      </rPr>
      <t xml:space="preserve"> M= (15 - p + k - q) mod 30</t>
    </r>
    <r>
      <rPr>
        <sz val="9"/>
        <rFont val="Arial"/>
        <family val="2"/>
      </rPr>
      <t> </t>
    </r>
  </si>
  <si>
    <r>
      <t>N</t>
    </r>
    <r>
      <rPr>
        <sz val="9"/>
        <rFont val="Arial"/>
        <family val="2"/>
      </rPr>
      <t xml:space="preserve"> es el resto dedividir</t>
    </r>
    <r>
      <rPr>
        <b/>
        <i/>
        <sz val="9"/>
        <rFont val="Arial"/>
        <family val="2"/>
      </rPr>
      <t>4 + k - q</t>
    </r>
    <r>
      <rPr>
        <sz val="9"/>
        <rFont val="Arial"/>
        <family val="2"/>
      </rPr>
      <t xml:space="preserve"> entre </t>
    </r>
    <r>
      <rPr>
        <b/>
        <sz val="9"/>
        <rFont val="Arial"/>
        <family val="2"/>
      </rPr>
      <t>7</t>
    </r>
    <r>
      <rPr>
        <sz val="9"/>
        <rFont val="Arial"/>
        <family val="2"/>
      </rPr>
      <t xml:space="preserve">, es decir, </t>
    </r>
    <r>
      <rPr>
        <b/>
        <i/>
        <sz val="9"/>
        <rFont val="Arial"/>
        <family val="2"/>
      </rPr>
      <t>N= (4 + k - q) mod 7</t>
    </r>
    <r>
      <rPr>
        <sz val="9"/>
        <rFont val="Arial"/>
        <family val="2"/>
      </rPr>
      <t> </t>
    </r>
  </si>
  <si>
    <r>
      <t>d</t>
    </r>
    <r>
      <rPr>
        <sz val="9"/>
        <rFont val="Arial"/>
        <family val="2"/>
      </rPr>
      <t xml:space="preserve"> es el resto de dividir</t>
    </r>
    <r>
      <rPr>
        <b/>
        <i/>
        <sz val="9"/>
        <rFont val="Arial"/>
        <family val="2"/>
      </rPr>
      <t>19a + M</t>
    </r>
    <r>
      <rPr>
        <sz val="9"/>
        <rFont val="Arial"/>
        <family val="2"/>
      </rPr>
      <t xml:space="preserve"> entre </t>
    </r>
    <r>
      <rPr>
        <b/>
        <sz val="9"/>
        <rFont val="Arial"/>
        <family val="2"/>
      </rPr>
      <t>30</t>
    </r>
    <r>
      <rPr>
        <sz val="9"/>
        <rFont val="Arial"/>
        <family val="2"/>
      </rPr>
      <t xml:space="preserve">, o lo que es lo mismo, </t>
    </r>
    <r>
      <rPr>
        <b/>
        <i/>
        <sz val="9"/>
        <rFont val="Arial"/>
        <family val="2"/>
      </rPr>
      <t>d= (19*A + M) mod 30</t>
    </r>
  </si>
  <si>
    <r>
      <t>e</t>
    </r>
    <r>
      <rPr>
        <sz val="9"/>
        <rFont val="Arial"/>
        <family val="2"/>
      </rPr>
      <t xml:space="preserve"> es el resto de dividir</t>
    </r>
    <r>
      <rPr>
        <b/>
        <i/>
        <sz val="9"/>
        <rFont val="Arial"/>
        <family val="2"/>
      </rPr>
      <t>2*b + 4*c + 6*d + N</t>
    </r>
    <r>
      <rPr>
        <sz val="9"/>
        <rFont val="Arial"/>
        <family val="2"/>
      </rPr>
      <t xml:space="preserve">  entre </t>
    </r>
    <r>
      <rPr>
        <b/>
        <sz val="9"/>
        <rFont val="Arial"/>
        <family val="2"/>
      </rPr>
      <t>7</t>
    </r>
    <r>
      <rPr>
        <sz val="9"/>
        <rFont val="Arial"/>
        <family val="2"/>
      </rPr>
      <t xml:space="preserve">, es decir, </t>
    </r>
    <r>
      <rPr>
        <b/>
        <i/>
        <sz val="9"/>
        <rFont val="Arial"/>
        <family val="2"/>
      </rPr>
      <t>e=(2*b + 4*c + 6*d + N) mod 7</t>
    </r>
  </si>
  <si>
    <r>
      <t>Calculando el valor de cada una de las variables para el año</t>
    </r>
    <r>
      <rPr>
        <b/>
        <sz val="9"/>
        <rFont val="Arial"/>
        <family val="2"/>
      </rPr>
      <t xml:space="preserve"> A</t>
    </r>
    <r>
      <rPr>
        <sz val="9"/>
        <rFont val="Arial"/>
        <family val="2"/>
      </rPr>
      <t xml:space="preserve"> en cuestión, </t>
    </r>
  </si>
  <si>
    <t>la fecha del Domingo de Pascua será la siguiente:</t>
  </si>
  <si>
    <r>
      <t xml:space="preserve">Si </t>
    </r>
    <r>
      <rPr>
        <b/>
        <i/>
        <sz val="9"/>
        <rFont val="Arial"/>
        <family val="2"/>
      </rPr>
      <t>d+e &lt; 10</t>
    </r>
    <r>
      <rPr>
        <sz val="9"/>
        <rFont val="Arial"/>
        <family val="2"/>
      </rPr>
      <t xml:space="preserve"> la fecha de Pascua de Resurrección será el día </t>
    </r>
    <r>
      <rPr>
        <b/>
        <i/>
        <sz val="9"/>
        <rFont val="Arial"/>
        <family val="2"/>
      </rPr>
      <t>d + e +22</t>
    </r>
    <r>
      <rPr>
        <sz val="9"/>
        <rFont val="Arial"/>
        <family val="2"/>
      </rPr>
      <t xml:space="preserve"> de marzo.</t>
    </r>
  </si>
  <si>
    <r>
      <t>Si </t>
    </r>
    <r>
      <rPr>
        <b/>
        <i/>
        <sz val="9"/>
        <rFont val="Arial"/>
        <family val="2"/>
      </rPr>
      <t>d+e &gt;10</t>
    </r>
    <r>
      <rPr>
        <sz val="9"/>
        <rFont val="Arial"/>
        <family val="2"/>
      </rPr>
      <t xml:space="preserve">, la fecha de Pascua de Resurrección será el día </t>
    </r>
    <r>
      <rPr>
        <b/>
        <i/>
        <sz val="9"/>
        <rFont val="Arial"/>
        <family val="2"/>
      </rPr>
      <t>d + e - 9</t>
    </r>
    <r>
      <rPr>
        <sz val="9"/>
        <rFont val="Arial"/>
        <family val="2"/>
      </rPr>
      <t> de abril.</t>
    </r>
  </si>
  <si>
    <r>
      <t xml:space="preserve">Si obtenemos el 26 de abril con </t>
    </r>
    <r>
      <rPr>
        <b/>
        <i/>
        <sz val="9"/>
        <rFont val="Arial"/>
        <family val="2"/>
      </rPr>
      <t>d=29, e=6</t>
    </r>
    <r>
      <rPr>
        <sz val="9"/>
        <rFont val="Arial"/>
        <family val="2"/>
      </rPr>
      <t>, </t>
    </r>
    <r>
      <rPr>
        <b/>
        <i/>
        <sz val="9"/>
        <rFont val="Arial"/>
        <family val="2"/>
      </rPr>
      <t>d+e-9=35-9=26 </t>
    </r>
    <r>
      <rPr>
        <sz val="9"/>
        <rFont val="Arial"/>
        <family val="2"/>
      </rPr>
      <t xml:space="preserve">nos salimos del rango establecido, </t>
    </r>
  </si>
  <si>
    <t>por lo que le deberemos restar 7 dias y la Pascua sería en ese caso particular el 19 de abril.</t>
  </si>
  <si>
    <r>
      <t xml:space="preserve">Si obtenemos el 25 de abril con </t>
    </r>
    <r>
      <rPr>
        <b/>
        <i/>
        <sz val="9"/>
        <rFont val="Arial"/>
        <family val="2"/>
      </rPr>
      <t>d=28, e=6</t>
    </r>
    <r>
      <rPr>
        <sz val="9"/>
        <rFont val="Arial"/>
        <family val="2"/>
      </rPr>
      <t xml:space="preserve">, </t>
    </r>
    <r>
      <rPr>
        <b/>
        <i/>
        <sz val="9"/>
        <rFont val="Arial"/>
        <family val="2"/>
      </rPr>
      <t>d+e-9=34-9=25</t>
    </r>
    <r>
      <rPr>
        <sz val="9"/>
        <rFont val="Arial"/>
        <family val="2"/>
      </rPr>
      <t> entonces la Pascua sería el 18 de abril.</t>
    </r>
  </si>
  <si>
    <t>Pascua</t>
  </si>
  <si>
    <t>EPACTA</t>
  </si>
  <si>
    <t>FECHA</t>
  </si>
  <si>
    <t>AG</t>
  </si>
  <si>
    <t>%</t>
  </si>
  <si>
    <t>FECHA ACTUAL</t>
  </si>
  <si>
    <t>Último domingo</t>
  </si>
  <si>
    <t>BA</t>
  </si>
  <si>
    <t>CB</t>
  </si>
  <si>
    <t>DC</t>
  </si>
  <si>
    <t>ED</t>
  </si>
  <si>
    <t>FE</t>
  </si>
  <si>
    <t>GF</t>
  </si>
  <si>
    <t>Concurrente 24-03</t>
  </si>
  <si>
    <t>Bisiesto "1"</t>
  </si>
  <si>
    <t>año</t>
  </si>
  <si>
    <t>CONCURRENTE</t>
  </si>
  <si>
    <t>Epacta solar</t>
  </si>
  <si>
    <t>ABCDEFG</t>
  </si>
  <si>
    <t xml:space="preserve">Dias entre el  último domingo </t>
  </si>
  <si>
    <t>del año y el 31-12</t>
  </si>
  <si>
    <t>Concurrente+ Regular solar+ fecha Mod 7: Feria semanal</t>
  </si>
  <si>
    <t>DIAS DESDE 01-01-01 A 01-01 DEL AÑO ELEGIDO</t>
  </si>
  <si>
    <t>Epacta+Regular lunar mes+ Número dia -30: Fase lunar dia</t>
  </si>
  <si>
    <t>DIA SEMANA 01/01</t>
  </si>
  <si>
    <t>Regular pascual+ concurrente-7= dia semanal plenilunio pascual</t>
  </si>
  <si>
    <t>Juliano (01-01)</t>
  </si>
  <si>
    <t>Regular lunar</t>
  </si>
  <si>
    <t>feria semanl</t>
  </si>
  <si>
    <t>feria</t>
  </si>
  <si>
    <t>Regular solar</t>
  </si>
  <si>
    <t>Bisiesto</t>
  </si>
  <si>
    <t>Alejandrino</t>
  </si>
  <si>
    <t>HOY</t>
  </si>
  <si>
    <t>Enero</t>
  </si>
  <si>
    <t>Febrero</t>
  </si>
  <si>
    <t>d= resta (19a+m)/30</t>
  </si>
  <si>
    <t>MARÇ</t>
  </si>
  <si>
    <t>Ceniza</t>
  </si>
  <si>
    <t>Dilluns pascua</t>
  </si>
  <si>
    <t>Calendario Juliano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</si>
  <si>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</si>
  <si>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</si>
  <si>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</si>
  <si>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</si>
  <si>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</si>
  <si>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</si>
  <si>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</si>
  <si>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</si>
  <si>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sepbre</t>
  </si>
  <si>
    <t>octubre</t>
  </si>
  <si>
    <t>noviembre</t>
  </si>
  <si>
    <t>diciembre</t>
  </si>
  <si>
    <t>NO EMBOLISTICO</t>
  </si>
  <si>
    <t>23/01/</t>
  </si>
  <si>
    <t>21/02/</t>
  </si>
  <si>
    <t>23/03/</t>
  </si>
  <si>
    <t>21/04/</t>
  </si>
  <si>
    <t>21/95/</t>
  </si>
  <si>
    <t>19/06/</t>
  </si>
  <si>
    <t>19/07/</t>
  </si>
  <si>
    <t>17/08/</t>
  </si>
  <si>
    <t>16/09/</t>
  </si>
  <si>
    <t>15/10/</t>
  </si>
  <si>
    <t>14/11/</t>
  </si>
  <si>
    <t>13/12/</t>
  </si>
  <si>
    <t>AÑO EMBOLISTICO</t>
  </si>
  <si>
    <t>Ascensio</t>
  </si>
  <si>
    <t>Pentecostes</t>
  </si>
  <si>
    <t>Fiestas Agosto</t>
  </si>
  <si>
    <t>PENTECOSTES</t>
  </si>
  <si>
    <t>CLAVES</t>
  </si>
  <si>
    <t>LLL PAS</t>
  </si>
  <si>
    <t>LLL PASCUAL</t>
  </si>
  <si>
    <t>MOVILES</t>
  </si>
  <si>
    <t>Comuniones</t>
  </si>
  <si>
    <t>añadir claves móviles</t>
  </si>
  <si>
    <t>SANT CRISTÒFOL (BENASSAL)</t>
  </si>
  <si>
    <t>1ER DOMINGO CUARESMA</t>
  </si>
  <si>
    <t>28-29/01</t>
  </si>
  <si>
    <t>'Epacta</t>
  </si>
  <si>
    <t>DOMINGO PASCUA</t>
  </si>
  <si>
    <t xml:space="preserve">        JE = (11 * (GN - 1)) Mod 30</t>
  </si>
  <si>
    <t>Cor de Jesus</t>
  </si>
  <si>
    <t xml:space="preserve">        Century = ((Year \ 100) + 1)</t>
  </si>
  <si>
    <t>TRINIDAD</t>
  </si>
  <si>
    <t>Domingo de Junio</t>
  </si>
  <si>
    <t xml:space="preserve">        SE = (3 * Century) \ 4</t>
  </si>
  <si>
    <t xml:space="preserve">        LE = ((8 * Century) + 5) \ 25</t>
  </si>
  <si>
    <t xml:space="preserve">        EPn = JE - SE + LE + 8</t>
  </si>
  <si>
    <t>PRIMER DOMINGO DE ADVIENTO</t>
  </si>
  <si>
    <t>30/11/</t>
  </si>
  <si>
    <t>CICLO</t>
  </si>
  <si>
    <t>LETRA</t>
  </si>
  <si>
    <t>SOLAR</t>
  </si>
  <si>
    <t>DOMINICAL</t>
  </si>
  <si>
    <t>3-des</t>
  </si>
  <si>
    <t>2-des</t>
  </si>
  <si>
    <t>1-des</t>
  </si>
  <si>
    <t xml:space="preserve">G </t>
  </si>
  <si>
    <t>EPACTA GREGORIANA</t>
  </si>
  <si>
    <t>LUNA LLENA</t>
  </si>
  <si>
    <t>CLAVES MÓVILES</t>
  </si>
  <si>
    <t xml:space="preserve">B </t>
  </si>
  <si>
    <t>NUMERO</t>
  </si>
  <si>
    <t xml:space="preserve">LETRA  </t>
  </si>
  <si>
    <t>MIÉRCOLES</t>
  </si>
  <si>
    <t>1R.DOMINGO</t>
  </si>
  <si>
    <t>JUEVES</t>
  </si>
  <si>
    <t>VIERNES</t>
  </si>
  <si>
    <t>SAN VTE</t>
  </si>
  <si>
    <t>SANTISIMA</t>
  </si>
  <si>
    <t>CORAZON</t>
  </si>
  <si>
    <t>AÚREO</t>
  </si>
  <si>
    <t>SEPTUAG</t>
  </si>
  <si>
    <t>SANTO</t>
  </si>
  <si>
    <t>FERRER</t>
  </si>
  <si>
    <t>CRISTI</t>
  </si>
  <si>
    <t>JESÚS</t>
  </si>
  <si>
    <t>ADVIENTO</t>
  </si>
  <si>
    <t>SEPBRE</t>
  </si>
  <si>
    <t>OCTBRE</t>
  </si>
  <si>
    <t>NOVBRE</t>
  </si>
  <si>
    <t>DESBRE</t>
  </si>
  <si>
    <t>*</t>
  </si>
  <si>
    <t>25*</t>
  </si>
  <si>
    <t>24*</t>
  </si>
  <si>
    <t>26*</t>
  </si>
  <si>
    <t>¿ES BISIESTO EL AÑO?</t>
  </si>
  <si>
    <t>19*</t>
  </si>
  <si>
    <t>N.O</t>
  </si>
  <si>
    <t>EP</t>
  </si>
  <si>
    <t>LN</t>
  </si>
  <si>
    <t>LLL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</si>
  <si>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</si>
  <si>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</si>
  <si>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</si>
  <si>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</si>
  <si>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</si>
  <si>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</si>
  <si>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</si>
  <si>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</si>
  <si>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</si>
  <si>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</si>
  <si>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</si>
  <si>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DES</t>
  </si>
  <si>
    <t>25'</t>
  </si>
  <si>
    <t xml:space="preserve">Ejercicio: Calcula la epacta para 1999. </t>
  </si>
  <si>
    <t>Jean Meeus</t>
  </si>
  <si>
    <t>Spencer Jones</t>
  </si>
  <si>
    <t>Paso 1.- Al año  al que queremos sacarle la epacta lo dividimos entre 19.</t>
  </si>
  <si>
    <t>19 / 1999 = 105 y sobran 4.</t>
  </si>
  <si>
    <t>El algoritmo es:</t>
  </si>
  <si>
    <t>Paso 2.- El resultado de la división no nos importa, nos importa el residuo. En este caso el residuo fue de 4.</t>
  </si>
  <si>
    <t>Al residuo lo vamos a multiplicar por 11 y eso nos dará otro número.</t>
  </si>
  <si>
    <t>4 X 11  =  44</t>
  </si>
  <si>
    <t>Paso 3.- A este número, resultado de la multiplicación por 11, le restamos tantas veces sea necesario 30, de esta manera nos debe de  quedar un número menor que 30.</t>
  </si>
  <si>
    <t>Dado que a 44 solo puedo quitarle una vez 30, procedemos.  44 - 30 = 14.</t>
  </si>
  <si>
    <t>Paso 3.- Ahora procedemos a quitarle 1.</t>
  </si>
  <si>
    <r>
      <t xml:space="preserve">14 - 1 = </t>
    </r>
    <r>
      <rPr>
        <b/>
        <sz val="12"/>
        <rFont val="Arial"/>
        <family val="2"/>
      </rPr>
      <t>13</t>
    </r>
  </si>
  <si>
    <t>AÑO BISIESTO</t>
  </si>
  <si>
    <t>epacta</t>
  </si>
  <si>
    <t>a64</t>
  </si>
  <si>
    <t>a65</t>
  </si>
  <si>
    <t>a66</t>
  </si>
  <si>
    <t>a67</t>
  </si>
  <si>
    <t>a68</t>
  </si>
  <si>
    <t>a69</t>
  </si>
  <si>
    <t>Dia</t>
  </si>
  <si>
    <t>Número aúreo</t>
  </si>
  <si>
    <t>1ª luna después 21-03</t>
  </si>
  <si>
    <t>CALCULEMOS LA EDAD DE LA LUNA.</t>
  </si>
  <si>
    <t>Además de la epacta podemos calcular que fase tendrá la Luna para cierto día del calendario que escojamos.</t>
  </si>
  <si>
    <t>DE</t>
  </si>
  <si>
    <t>La fórmula básica es;</t>
  </si>
  <si>
    <t>Epacta del Año + Fecha del Mes +  Número del mes + 1 (solo si es después del 1 de marzo en año bisiesto) - n30 = Edad de la Luna</t>
  </si>
  <si>
    <t>En donde:</t>
  </si>
  <si>
    <t>Epacta del año: el número constante que sacamos anteriormente.</t>
  </si>
  <si>
    <t>Fecha del mes: El número del día del mes que buscamos (Ejemplo; 5 de febrero, la fecha del mes es 5)</t>
  </si>
  <si>
    <t>=SI(MOD(19*MOD(année;19)+24;30)+MOD(2*MOD(année;4)+4*MOD(année;7)+6*</t>
  </si>
  <si>
    <t>Número de mes: El número que le corresponde al mes de acuerdo a la siguiente tabla.-</t>
  </si>
  <si>
    <t>MOD(19*MOD(année;19)+24;30)+5;7)-9&lt;=0;DATE(année;3;22+MOD(19*MOD(année;</t>
  </si>
  <si>
    <t>19)+24;30)+MOD(2*MOD(année;4)+4*MOD(année;7)+6*MOD(19*MOD(année;19)+24;</t>
  </si>
  <si>
    <t>30)+5;7));DATE(année;4;MOD(19*MOD(année;19)+24;30)+MOD(2*MOD(année;4)+4*</t>
  </si>
  <si>
    <t>MOD(année;7)+6*MOD(19*MOD(année;19)+24;30)+5;7)-9))</t>
  </si>
  <si>
    <t>Veamos un ejemplo:</t>
  </si>
  <si>
    <t>2.- Calcula la edad de la Luna para el 17 de noviembre de 1999.</t>
  </si>
  <si>
    <t>Solución:</t>
  </si>
  <si>
    <t>La epacta de 1999 es 13.</t>
  </si>
  <si>
    <t>La Fecha del mes es 17</t>
  </si>
  <si>
    <t>El número del mes de acuerdo a la tabla es 9 para noviembre.</t>
  </si>
  <si>
    <r>
      <t xml:space="preserve">Sustituimos en la fórmula:  13 +17 + 9 = 39 dado que se pasa de 30 le restamos 30 . 39 - 30 </t>
    </r>
    <r>
      <rPr>
        <b/>
        <sz val="12"/>
        <rFont val="Arial"/>
        <family val="2"/>
      </rPr>
      <t>= 9</t>
    </r>
  </si>
  <si>
    <t>Así, vemos que 9 es la edad de la Luna para el 17 de noviembre de 1999.</t>
  </si>
  <si>
    <t>Ciclo de Metón: 19 años- 235 lunaciones</t>
  </si>
  <si>
    <t>LUNAS LLENAS</t>
  </si>
  <si>
    <t>LUNA NUEVA</t>
  </si>
  <si>
    <t>Numero Aureo</t>
  </si>
  <si>
    <t>/</t>
  </si>
  <si>
    <t>Edad de la Luna = Epacta + 1 unidad por cada mes a partir de Marzo inclusive + día del mes</t>
  </si>
  <si>
    <t>Epacta</t>
  </si>
  <si>
    <t>Gregoriana</t>
  </si>
  <si>
    <t>13</t>
  </si>
  <si>
    <t>14</t>
  </si>
  <si>
    <t>15</t>
  </si>
  <si>
    <t>CONC.PASCUAL</t>
  </si>
  <si>
    <t>16</t>
  </si>
  <si>
    <t>17</t>
  </si>
  <si>
    <t>INDICCION</t>
  </si>
  <si>
    <t>18</t>
  </si>
  <si>
    <t>Año entre 325 y 1582</t>
  </si>
  <si>
    <t>19</t>
  </si>
  <si>
    <t>20</t>
  </si>
  <si>
    <t>21</t>
  </si>
  <si>
    <t>22</t>
  </si>
  <si>
    <t>EPACTA ALEJ.</t>
  </si>
  <si>
    <t>23</t>
  </si>
  <si>
    <t>24</t>
  </si>
  <si>
    <t>25</t>
  </si>
  <si>
    <t>26</t>
  </si>
  <si>
    <t>27</t>
  </si>
  <si>
    <t>REGULAR</t>
  </si>
  <si>
    <t>28</t>
  </si>
  <si>
    <t>PASCUAL</t>
  </si>
  <si>
    <t>29</t>
  </si>
  <si>
    <t>30</t>
  </si>
  <si>
    <t>31</t>
  </si>
  <si>
    <t>I</t>
  </si>
  <si>
    <t>II</t>
  </si>
  <si>
    <t>III</t>
  </si>
  <si>
    <t>IV</t>
  </si>
  <si>
    <t>VI</t>
  </si>
  <si>
    <t>VII</t>
  </si>
  <si>
    <t>VIII</t>
  </si>
  <si>
    <t>XIX</t>
  </si>
  <si>
    <t xml:space="preserve">X </t>
  </si>
  <si>
    <t xml:space="preserve">XI </t>
  </si>
  <si>
    <t>XII</t>
  </si>
  <si>
    <t>XIII</t>
  </si>
  <si>
    <t>XIV</t>
  </si>
  <si>
    <t>XV</t>
  </si>
  <si>
    <t>XVI</t>
  </si>
  <si>
    <t>XVII</t>
  </si>
  <si>
    <t>XVIII</t>
  </si>
  <si>
    <t>U.Vac</t>
  </si>
  <si>
    <t>1rVac</t>
  </si>
  <si>
    <t>Primera luna llena del mes de marzo</t>
  </si>
  <si>
    <t>Primera luna llena del mes de abril</t>
  </si>
  <si>
    <t>N= h+l-7m+114=k8+k10-7*j11+114</t>
  </si>
  <si>
    <r>
      <t>DÍA</t>
    </r>
    <r>
      <rPr>
        <sz val="10"/>
        <rFont val="Arial"/>
        <family val="2"/>
      </rPr>
      <t xml:space="preserve"> = </t>
    </r>
    <r>
      <rPr>
        <sz val="10"/>
        <rFont val="Arial"/>
        <family val="2"/>
      </rPr>
      <t>1 + (</t>
    </r>
    <r>
      <rPr>
        <i/>
        <sz val="10"/>
        <rFont val="Arial"/>
        <family val="2"/>
      </rPr>
      <t>N</t>
    </r>
    <r>
      <rPr>
        <sz val="10"/>
        <rFont val="Arial"/>
        <family val="2"/>
      </rPr>
      <t xml:space="preserve"> - (</t>
    </r>
    <r>
      <rPr>
        <i/>
        <sz val="10"/>
        <rFont val="Arial"/>
        <family val="2"/>
      </rPr>
      <t>MES</t>
    </r>
    <r>
      <rPr>
        <sz val="10"/>
        <rFont val="Arial"/>
        <family val="2"/>
      </rPr>
      <t xml:space="preserve"> × 31)).</t>
    </r>
  </si>
  <si>
    <r>
      <t>DÍA</t>
    </r>
    <r>
      <rPr>
        <sz val="10"/>
        <rFont val="Arial"/>
        <family val="2"/>
      </rPr>
      <t xml:space="preserve"> = 1 + ( </t>
    </r>
    <r>
      <rPr>
        <i/>
        <sz val="10"/>
        <rFont val="Arial"/>
        <family val="2"/>
      </rPr>
      <t>N</t>
    </r>
    <r>
      <rPr>
        <sz val="10"/>
        <rFont val="Arial"/>
        <family val="2"/>
      </rPr>
      <t xml:space="preserve"> mod 31 ) </t>
    </r>
  </si>
  <si>
    <t>a=RESIDUO(año;19)</t>
  </si>
  <si>
    <t>b=ENTERO(año/100)</t>
  </si>
  <si>
    <t>c=RESIDUO(año;100)</t>
  </si>
  <si>
    <t>d=ENTERO(b/4)</t>
  </si>
  <si>
    <t>e=RESIDUO(b;4)</t>
  </si>
  <si>
    <t>f=ENTERO((b+8)/25)</t>
  </si>
  <si>
    <t>g=ENTERO((b-f+1)/3)</t>
  </si>
  <si>
    <t>h=RESIDUO((19*a+b-d-g+15);30)</t>
  </si>
  <si>
    <t>i=ENTERO(c/4)</t>
  </si>
  <si>
    <t>k=RESIDUO(c;4)</t>
  </si>
  <si>
    <t>l=RESIDUO((32+2*e+2*i-h-k);7)</t>
  </si>
  <si>
    <t>m=ENTERO((a+11*h+22*l)/451)</t>
  </si>
  <si>
    <t>n=ENTERO((h+l-7*m+114)/31)</t>
  </si>
  <si>
    <t>p=RESIDUO((h+l-7*m+114);31)</t>
  </si>
  <si>
    <t>Epacta Juliana</t>
  </si>
  <si>
    <t xml:space="preserve">Epacta </t>
  </si>
  <si>
    <t>Alejandrina</t>
  </si>
  <si>
    <t>juliana</t>
  </si>
  <si>
    <t xml:space="preserve">EPACTA </t>
  </si>
  <si>
    <t>ALEJANDRINA</t>
  </si>
  <si>
    <t>Fórmula-2</t>
  </si>
  <si>
    <t>Fórmula-3</t>
  </si>
  <si>
    <t>AÑOS (326-1582)</t>
  </si>
  <si>
    <t>CALENDARIO GREGORIANO (TABLA LUNAS NUEVAS)</t>
  </si>
  <si>
    <t>TABLA DE LUNAS Y PASCUAS SIGLOS XX , XXI Y XXII (1900-2199)</t>
  </si>
  <si>
    <t>1.30</t>
  </si>
  <si>
    <t>1.31</t>
  </si>
  <si>
    <t>2.31</t>
  </si>
  <si>
    <t>Tabla de lunas nuevas calendario juliano (326-1582)</t>
  </si>
  <si>
    <t>n.ORO</t>
  </si>
  <si>
    <t>N.ORO</t>
  </si>
  <si>
    <t>CONCURRENTE PASCUAL+ REGULADOR PASCUAL-7= DIA SEMANAL PLENILUNIO PASCUAL</t>
  </si>
  <si>
    <t>NÚMERO AÚREO:</t>
  </si>
  <si>
    <t>DIA SEMANAL 01/01:</t>
  </si>
  <si>
    <t xml:space="preserve">PARA CUALQUER AÑO </t>
  </si>
  <si>
    <t>INTRODUCIENDO EL AÑO CORRESPONDIENTE (0-9999)</t>
  </si>
  <si>
    <t>CONCURRENTE PASCUAL:</t>
  </si>
  <si>
    <t>CONCURRENTE:</t>
  </si>
  <si>
    <t>EPACTA ALEJANDRINA (22/03)</t>
  </si>
  <si>
    <t>INDICCIÓN:</t>
  </si>
  <si>
    <t>SEPTUAGÉSIMA</t>
  </si>
  <si>
    <t>de</t>
  </si>
  <si>
    <t>1ER. ADVIENTO</t>
  </si>
  <si>
    <t>SAN VICENTE</t>
  </si>
  <si>
    <t>STMA. TRINIDAD</t>
  </si>
  <si>
    <t>Número aúreo: Número del año dentro del Ciclo de Metón (1-19)</t>
  </si>
  <si>
    <t>Epacta: Edad de la Luna el dia 31-12 año anterior  (1-29)</t>
  </si>
  <si>
    <t>Concurrente: Número de días del 31-12 año anterior al primer domingo del año siguiente</t>
  </si>
  <si>
    <t>Año bisiesto: Año de 366 días (29 de febrero)</t>
  </si>
  <si>
    <t>Año embolístico: Año de 13 meses en el calendario hebreo (números aúreos 2,5,8,11,13,16,19)</t>
  </si>
  <si>
    <t>Epacta alejandrina: Edad de la Luna el dia 22 de marzo (muy útil para calcular la luna pascual</t>
  </si>
  <si>
    <t>Luna Llena Pascual: Primera Luna Llena de Primavera (posterior al 21 de marzo) (Equinocio Norte)</t>
  </si>
  <si>
    <t>Domingo Pascua Resurrección: Primer domingo siguiente a la Luna Llena Pascual</t>
  </si>
  <si>
    <t>Letra dominical: Letra 1er. Domingo del año (ABCDEFG)- 1 de Enero= A; 2 de Enero= B…..</t>
  </si>
  <si>
    <t>Datos teóricos (poco fiables): Años (1-325)- Concilio Nicea (325): Se formula la fecha de la Pascua</t>
  </si>
  <si>
    <t>1582: Corrección de 10 días del calendario (Del 4 de octubre se paso directamente al 15 de octubre)</t>
  </si>
  <si>
    <t>1583-999: Calendario Gregoriano</t>
  </si>
  <si>
    <t>325- 1582: Sólo existe el calendario juliano (Julio César) (-46 ADJC). No existió el año cero</t>
  </si>
  <si>
    <t>1583-9999: Calendario Ortodoxo y Juliano (en desuso)</t>
  </si>
  <si>
    <t>(Válido a partir del año 1900 hasta el año 9999)</t>
  </si>
</sst>
</file>

<file path=xl/styles.xml><?xml version="1.0" encoding="utf-8"?>
<styleSheet xmlns="http://schemas.openxmlformats.org/spreadsheetml/2006/main">
  <numFmts count="15">
    <numFmt numFmtId="43" formatCode="_-* #,##0.00\ _€_-;\-* #,##0.00\ _€_-;_-* &quot;-&quot;??\ _€_-;_-@_-"/>
    <numFmt numFmtId="164" formatCode="d/mm/yyyy"/>
    <numFmt numFmtId="165" formatCode="d\-mmm"/>
    <numFmt numFmtId="166" formatCode="d\-mmmm"/>
    <numFmt numFmtId="167" formatCode="0.000"/>
    <numFmt numFmtId="168" formatCode="#,##0_ ;\-#,##0\ "/>
    <numFmt numFmtId="169" formatCode="_-* #,##0.00\ [$€]_-;\-* #,##0.00\ [$€]_-;_-* &quot;-&quot;??\ [$€]_-;_-@_-"/>
    <numFmt numFmtId="170" formatCode="0.0"/>
    <numFmt numFmtId="171" formatCode="[$-C0A]d\-mmm;@"/>
    <numFmt numFmtId="172" formatCode="dd\-mm\-yy;@"/>
    <numFmt numFmtId="173" formatCode="[$-C0A]d\-mmm\-yy;@"/>
    <numFmt numFmtId="174" formatCode="[$-F800]dddd\,\ mmmm\ dd\,\ yyyy"/>
    <numFmt numFmtId="175" formatCode="mmmm"/>
    <numFmt numFmtId="176" formatCode="dddd"/>
    <numFmt numFmtId="177" formatCode="d\-m;@"/>
  </numFmts>
  <fonts count="9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7.5"/>
      <name val="Arial"/>
      <family val="2"/>
    </font>
    <font>
      <sz val="10"/>
      <color indexed="18"/>
      <name val="Arial"/>
      <family val="2"/>
    </font>
    <font>
      <sz val="7.5"/>
      <color indexed="18"/>
      <name val="Arial"/>
      <family val="2"/>
    </font>
    <font>
      <vertAlign val="superscript"/>
      <sz val="7.5"/>
      <name val="Arial"/>
      <family val="2"/>
    </font>
    <font>
      <b/>
      <sz val="22"/>
      <name val="Arial"/>
      <family val="2"/>
    </font>
    <font>
      <b/>
      <sz val="24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sz val="10"/>
      <color indexed="12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color indexed="10"/>
      <name val="Arial"/>
      <family val="2"/>
    </font>
    <font>
      <b/>
      <sz val="8"/>
      <color indexed="9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1"/>
      <color indexed="10"/>
      <name val="Arial"/>
      <family val="2"/>
    </font>
    <font>
      <b/>
      <sz val="7"/>
      <name val="Arial"/>
      <family val="2"/>
    </font>
    <font>
      <b/>
      <sz val="7"/>
      <color indexed="10"/>
      <name val="Arial"/>
      <family val="2"/>
    </font>
    <font>
      <b/>
      <sz val="8"/>
      <color indexed="13"/>
      <name val="Arial"/>
      <family val="2"/>
    </font>
    <font>
      <sz val="8"/>
      <name val="Arial"/>
      <family val="2"/>
    </font>
    <font>
      <b/>
      <sz val="5"/>
      <name val="Arial"/>
      <family val="2"/>
    </font>
    <font>
      <sz val="8"/>
      <color indexed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b/>
      <sz val="10"/>
      <color indexed="13"/>
      <name val="Arial"/>
      <family val="2"/>
    </font>
    <font>
      <b/>
      <sz val="9"/>
      <color indexed="10"/>
      <name val="Arial"/>
      <family val="2"/>
    </font>
    <font>
      <sz val="11"/>
      <name val="Arial"/>
      <family val="2"/>
    </font>
    <font>
      <b/>
      <sz val="5"/>
      <color indexed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 Unicode MS"/>
      <family val="2"/>
    </font>
    <font>
      <b/>
      <sz val="14"/>
      <color indexed="10"/>
      <name val="Arial"/>
      <family val="2"/>
    </font>
    <font>
      <sz val="10"/>
      <name val="Inherit"/>
    </font>
    <font>
      <b/>
      <i/>
      <sz val="10"/>
      <name val="Inherit"/>
    </font>
    <font>
      <b/>
      <i/>
      <sz val="9"/>
      <name val="Arial"/>
      <family val="2"/>
    </font>
    <font>
      <sz val="9"/>
      <color indexed="81"/>
      <name val="Tahoma"/>
      <family val="2"/>
    </font>
    <font>
      <b/>
      <i/>
      <u/>
      <sz val="18"/>
      <name val="Arial"/>
      <family val="2"/>
    </font>
    <font>
      <b/>
      <i/>
      <sz val="12"/>
      <name val="Arial"/>
      <family val="2"/>
    </font>
    <font>
      <sz val="7"/>
      <name val="Arial"/>
      <family val="2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7"/>
      <color rgb="FFFF000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5"/>
      <name val="Arial"/>
      <family val="2"/>
    </font>
    <font>
      <sz val="8"/>
      <color theme="0"/>
      <name val="Arial"/>
      <family val="2"/>
    </font>
    <font>
      <sz val="16"/>
      <color rgb="FFFFFF00"/>
      <name val="Arial"/>
      <family val="2"/>
    </font>
    <font>
      <b/>
      <sz val="16"/>
      <color rgb="FFFFFF00"/>
      <name val="Arial"/>
      <family val="2"/>
    </font>
    <font>
      <sz val="10"/>
      <color rgb="FFFFFF00"/>
      <name val="Arial"/>
      <family val="2"/>
    </font>
    <font>
      <b/>
      <sz val="10"/>
      <color rgb="FFFFFF00"/>
      <name val="Arial"/>
      <family val="2"/>
    </font>
    <font>
      <b/>
      <sz val="11"/>
      <color rgb="FFFFFF00"/>
      <name val="Arial"/>
      <family val="2"/>
    </font>
    <font>
      <b/>
      <sz val="12"/>
      <color rgb="FFFFFF00"/>
      <name val="Arial"/>
      <family val="2"/>
    </font>
    <font>
      <b/>
      <sz val="8"/>
      <color theme="0"/>
      <name val="Arial"/>
      <family val="2"/>
    </font>
    <font>
      <b/>
      <sz val="10.45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rgb="FFFF66CC"/>
      <name val="Arial"/>
      <family val="2"/>
    </font>
    <font>
      <b/>
      <sz val="9"/>
      <name val="Calibri"/>
      <family val="2"/>
      <scheme val="minor"/>
    </font>
    <font>
      <sz val="12"/>
      <color rgb="FFFFFF00"/>
      <name val="Arial"/>
      <family val="2"/>
    </font>
    <font>
      <b/>
      <sz val="14"/>
      <color rgb="FFFFFF00"/>
      <name val="Arial"/>
      <family val="2"/>
    </font>
    <font>
      <sz val="14"/>
      <color theme="0"/>
      <name val="Calibri"/>
      <family val="2"/>
      <scheme val="minor"/>
    </font>
    <font>
      <sz val="8"/>
      <color theme="1"/>
      <name val="Arial"/>
      <family val="2"/>
    </font>
    <font>
      <sz val="14"/>
      <color rgb="FFFFFF00"/>
      <name val="Arial"/>
      <family val="2"/>
    </font>
    <font>
      <b/>
      <sz val="22"/>
      <color rgb="FFFFFF00"/>
      <name val="Arial"/>
      <family val="2"/>
    </font>
    <font>
      <b/>
      <sz val="24"/>
      <color rgb="FFFFFF00"/>
      <name val="Arial"/>
      <family val="2"/>
    </font>
    <font>
      <b/>
      <sz val="9"/>
      <color rgb="FFFFFF00"/>
      <name val="Arial"/>
      <family val="2"/>
    </font>
    <font>
      <b/>
      <sz val="8"/>
      <color rgb="FFFFFF00"/>
      <name val="Arial"/>
      <family val="2"/>
    </font>
    <font>
      <b/>
      <sz val="9"/>
      <color rgb="FFFF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20"/>
      <color theme="1"/>
      <name val="Arial"/>
      <family val="2"/>
    </font>
    <font>
      <b/>
      <sz val="11"/>
      <color indexed="81"/>
      <name val="Tahoma"/>
      <family val="2"/>
    </font>
    <font>
      <sz val="10"/>
      <name val="Arial"/>
      <family val="2"/>
    </font>
  </fonts>
  <fills count="5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1E03BD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3333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ECFF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theme="1" tint="0.14996795556505021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96" fillId="0" borderId="0"/>
    <xf numFmtId="43" fontId="2" fillId="0" borderId="0" applyFont="0" applyFill="0" applyBorder="0" applyAlignment="0" applyProtection="0"/>
  </cellStyleXfs>
  <cellXfs count="757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2" borderId="1" xfId="0" applyFont="1" applyFill="1" applyBorder="1" applyAlignment="1" applyProtection="1">
      <alignment horizontal="center"/>
      <protection locked="0" hidden="1"/>
    </xf>
    <xf numFmtId="0" fontId="7" fillId="0" borderId="0" xfId="0" applyFont="1" applyAlignment="1" applyProtection="1">
      <alignment horizontal="center"/>
      <protection hidden="1"/>
    </xf>
    <xf numFmtId="14" fontId="0" fillId="0" borderId="0" xfId="0" applyNumberFormat="1" applyProtection="1">
      <protection hidden="1"/>
    </xf>
    <xf numFmtId="164" fontId="0" fillId="0" borderId="0" xfId="0" applyNumberFormat="1" applyProtection="1">
      <protection hidden="1"/>
    </xf>
    <xf numFmtId="0" fontId="3" fillId="3" borderId="2" xfId="0" applyFont="1" applyFill="1" applyBorder="1" applyProtection="1">
      <protection hidden="1"/>
    </xf>
    <xf numFmtId="0" fontId="0" fillId="3" borderId="3" xfId="0" applyFill="1" applyBorder="1" applyProtection="1">
      <protection hidden="1"/>
    </xf>
    <xf numFmtId="164" fontId="3" fillId="3" borderId="3" xfId="0" applyNumberFormat="1" applyFont="1" applyFill="1" applyBorder="1" applyProtection="1">
      <protection hidden="1"/>
    </xf>
    <xf numFmtId="0" fontId="0" fillId="3" borderId="3" xfId="0" applyFill="1" applyBorder="1" applyAlignment="1" applyProtection="1">
      <alignment horizontal="center"/>
      <protection hidden="1"/>
    </xf>
    <xf numFmtId="0" fontId="0" fillId="3" borderId="4" xfId="0" applyFill="1" applyBorder="1" applyProtection="1">
      <protection hidden="1"/>
    </xf>
    <xf numFmtId="0" fontId="8" fillId="4" borderId="1" xfId="0" applyFont="1" applyFill="1" applyBorder="1" applyProtection="1">
      <protection hidden="1"/>
    </xf>
    <xf numFmtId="0" fontId="8" fillId="4" borderId="2" xfId="0" applyFont="1" applyFill="1" applyBorder="1" applyProtection="1">
      <protection hidden="1"/>
    </xf>
    <xf numFmtId="0" fontId="8" fillId="4" borderId="3" xfId="0" applyFont="1" applyFill="1" applyBorder="1" applyProtection="1">
      <protection hidden="1"/>
    </xf>
    <xf numFmtId="0" fontId="8" fillId="4" borderId="3" xfId="0" applyFont="1" applyFill="1" applyBorder="1" applyAlignment="1" applyProtection="1">
      <alignment horizontal="center"/>
      <protection hidden="1"/>
    </xf>
    <xf numFmtId="0" fontId="0" fillId="4" borderId="4" xfId="0" applyFill="1" applyBorder="1" applyProtection="1">
      <protection hidden="1"/>
    </xf>
    <xf numFmtId="0" fontId="4" fillId="3" borderId="5" xfId="0" applyFont="1" applyFill="1" applyBorder="1" applyAlignment="1" applyProtection="1">
      <alignment horizontal="center"/>
      <protection hidden="1"/>
    </xf>
    <xf numFmtId="0" fontId="4" fillId="3" borderId="6" xfId="0" applyFont="1" applyFill="1" applyBorder="1" applyAlignment="1" applyProtection="1">
      <alignment horizontal="center"/>
      <protection hidden="1"/>
    </xf>
    <xf numFmtId="0" fontId="3" fillId="4" borderId="7" xfId="0" applyFont="1" applyFill="1" applyBorder="1" applyProtection="1">
      <protection hidden="1"/>
    </xf>
    <xf numFmtId="0" fontId="3" fillId="4" borderId="8" xfId="0" applyFont="1" applyFill="1" applyBorder="1" applyProtection="1">
      <protection hidden="1"/>
    </xf>
    <xf numFmtId="0" fontId="3" fillId="4" borderId="9" xfId="0" applyFont="1" applyFill="1" applyBorder="1" applyProtection="1">
      <protection hidden="1"/>
    </xf>
    <xf numFmtId="0" fontId="0" fillId="0" borderId="5" xfId="0" applyBorder="1" applyProtection="1">
      <protection hidden="1"/>
    </xf>
    <xf numFmtId="0" fontId="3" fillId="4" borderId="10" xfId="0" applyFont="1" applyFill="1" applyBorder="1" applyProtection="1">
      <protection hidden="1"/>
    </xf>
    <xf numFmtId="0" fontId="0" fillId="0" borderId="6" xfId="0" applyBorder="1" applyProtection="1">
      <protection hidden="1"/>
    </xf>
    <xf numFmtId="168" fontId="0" fillId="0" borderId="0" xfId="0" applyNumberFormat="1" applyProtection="1">
      <protection hidden="1"/>
    </xf>
    <xf numFmtId="0" fontId="0" fillId="0" borderId="11" xfId="0" applyBorder="1" applyProtection="1">
      <protection hidden="1"/>
    </xf>
    <xf numFmtId="0" fontId="0" fillId="0" borderId="12" xfId="0" applyBorder="1" applyProtection="1">
      <protection hidden="1"/>
    </xf>
    <xf numFmtId="0" fontId="0" fillId="0" borderId="0" xfId="0" applyBorder="1" applyProtection="1">
      <protection hidden="1"/>
    </xf>
    <xf numFmtId="0" fontId="8" fillId="4" borderId="4" xfId="0" applyFont="1" applyFill="1" applyBorder="1" applyProtection="1">
      <protection hidden="1"/>
    </xf>
    <xf numFmtId="168" fontId="9" fillId="2" borderId="1" xfId="1" applyNumberFormat="1" applyFont="1" applyFill="1" applyBorder="1" applyAlignment="1" applyProtection="1">
      <alignment horizontal="center"/>
      <protection hidden="1"/>
    </xf>
    <xf numFmtId="168" fontId="4" fillId="2" borderId="1" xfId="1" applyNumberFormat="1" applyFont="1" applyFill="1" applyBorder="1" applyAlignment="1" applyProtection="1">
      <alignment horizontal="center"/>
      <protection hidden="1"/>
    </xf>
    <xf numFmtId="165" fontId="8" fillId="4" borderId="3" xfId="0" applyNumberFormat="1" applyFont="1" applyFill="1" applyBorder="1" applyAlignment="1" applyProtection="1">
      <alignment horizontal="center"/>
      <protection hidden="1"/>
    </xf>
    <xf numFmtId="0" fontId="19" fillId="0" borderId="2" xfId="0" applyFont="1" applyBorder="1" applyProtection="1">
      <protection hidden="1"/>
    </xf>
    <xf numFmtId="0" fontId="0" fillId="0" borderId="4" xfId="0" applyBorder="1" applyProtection="1">
      <protection hidden="1"/>
    </xf>
    <xf numFmtId="0" fontId="26" fillId="0" borderId="0" xfId="0" applyFont="1" applyProtection="1">
      <protection hidden="1"/>
    </xf>
    <xf numFmtId="0" fontId="27" fillId="0" borderId="0" xfId="0" applyFont="1" applyAlignment="1" applyProtection="1">
      <alignment horizontal="center"/>
      <protection hidden="1"/>
    </xf>
    <xf numFmtId="0" fontId="28" fillId="0" borderId="0" xfId="0" applyFont="1" applyAlignment="1" applyProtection="1">
      <alignment horizontal="center"/>
      <protection hidden="1"/>
    </xf>
    <xf numFmtId="0" fontId="29" fillId="0" borderId="0" xfId="0" applyFont="1" applyAlignment="1" applyProtection="1">
      <alignment horizontal="center"/>
      <protection hidden="1"/>
    </xf>
    <xf numFmtId="0" fontId="30" fillId="0" borderId="0" xfId="0" applyFont="1" applyAlignment="1" applyProtection="1">
      <alignment horizontal="center"/>
      <protection hidden="1"/>
    </xf>
    <xf numFmtId="0" fontId="28" fillId="0" borderId="0" xfId="0" applyFont="1" applyBorder="1" applyAlignment="1" applyProtection="1">
      <alignment horizontal="center"/>
      <protection hidden="1"/>
    </xf>
    <xf numFmtId="0" fontId="29" fillId="0" borderId="0" xfId="0" applyFont="1" applyBorder="1" applyAlignment="1" applyProtection="1">
      <alignment horizontal="center"/>
      <protection hidden="1"/>
    </xf>
    <xf numFmtId="0" fontId="29" fillId="0" borderId="0" xfId="0" applyFont="1" applyBorder="1" applyAlignment="1" applyProtection="1">
      <alignment horizontal="left"/>
      <protection hidden="1"/>
    </xf>
    <xf numFmtId="170" fontId="29" fillId="0" borderId="0" xfId="0" applyNumberFormat="1" applyFont="1" applyBorder="1" applyAlignment="1" applyProtection="1">
      <alignment horizontal="center"/>
      <protection hidden="1"/>
    </xf>
    <xf numFmtId="49" fontId="34" fillId="0" borderId="0" xfId="0" applyNumberFormat="1" applyFont="1" applyAlignment="1" applyProtection="1">
      <alignment horizontal="center"/>
      <protection hidden="1"/>
    </xf>
    <xf numFmtId="1" fontId="29" fillId="0" borderId="0" xfId="0" applyNumberFormat="1" applyFont="1" applyBorder="1" applyAlignment="1" applyProtection="1">
      <alignment horizontal="center"/>
      <protection hidden="1"/>
    </xf>
    <xf numFmtId="0" fontId="35" fillId="0" borderId="0" xfId="0" applyFont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center"/>
      <protection hidden="1"/>
    </xf>
    <xf numFmtId="49" fontId="6" fillId="0" borderId="0" xfId="0" applyNumberFormat="1" applyFont="1" applyBorder="1" applyAlignment="1" applyProtection="1">
      <alignment horizontal="center"/>
      <protection hidden="1"/>
    </xf>
    <xf numFmtId="0" fontId="27" fillId="5" borderId="0" xfId="0" applyFont="1" applyFill="1" applyAlignment="1" applyProtection="1">
      <alignment horizontal="center"/>
      <protection hidden="1"/>
    </xf>
    <xf numFmtId="15" fontId="27" fillId="0" borderId="0" xfId="0" applyNumberFormat="1" applyFont="1" applyAlignment="1" applyProtection="1">
      <alignment horizontal="center"/>
      <protection hidden="1"/>
    </xf>
    <xf numFmtId="0" fontId="38" fillId="0" borderId="0" xfId="0" applyFont="1" applyAlignment="1" applyProtection="1">
      <alignment horizontal="center"/>
      <protection hidden="1"/>
    </xf>
    <xf numFmtId="0" fontId="27" fillId="2" borderId="13" xfId="0" applyFont="1" applyFill="1" applyBorder="1" applyAlignment="1" applyProtection="1">
      <alignment horizontal="center"/>
      <protection hidden="1"/>
    </xf>
    <xf numFmtId="0" fontId="29" fillId="0" borderId="0" xfId="0" applyFont="1" applyBorder="1" applyProtection="1">
      <protection hidden="1"/>
    </xf>
    <xf numFmtId="0" fontId="39" fillId="0" borderId="0" xfId="0" applyFont="1" applyBorder="1" applyProtection="1">
      <protection hidden="1"/>
    </xf>
    <xf numFmtId="0" fontId="29" fillId="0" borderId="14" xfId="0" applyFont="1" applyFill="1" applyBorder="1" applyAlignment="1" applyProtection="1">
      <alignment horizontal="center"/>
      <protection hidden="1"/>
    </xf>
    <xf numFmtId="0" fontId="27" fillId="0" borderId="0" xfId="0" applyFont="1" applyAlignment="1" applyProtection="1">
      <alignment horizontal="left"/>
      <protection hidden="1"/>
    </xf>
    <xf numFmtId="0" fontId="27" fillId="0" borderId="0" xfId="0" applyFont="1" applyFill="1" applyBorder="1" applyAlignment="1" applyProtection="1">
      <alignment horizontal="center"/>
      <protection hidden="1"/>
    </xf>
    <xf numFmtId="0" fontId="28" fillId="0" borderId="0" xfId="0" applyFont="1" applyFill="1" applyBorder="1" applyAlignment="1" applyProtection="1">
      <alignment horizontal="center"/>
      <protection hidden="1"/>
    </xf>
    <xf numFmtId="0" fontId="36" fillId="0" borderId="0" xfId="0" applyFont="1" applyFill="1" applyBorder="1" applyAlignment="1" applyProtection="1">
      <alignment horizontal="center"/>
      <protection hidden="1"/>
    </xf>
    <xf numFmtId="0" fontId="27" fillId="0" borderId="15" xfId="0" applyFont="1" applyBorder="1" applyAlignment="1" applyProtection="1">
      <alignment horizontal="center"/>
      <protection hidden="1"/>
    </xf>
    <xf numFmtId="0" fontId="27" fillId="0" borderId="16" xfId="0" applyFont="1" applyFill="1" applyBorder="1" applyAlignment="1" applyProtection="1">
      <alignment horizontal="center"/>
      <protection hidden="1"/>
    </xf>
    <xf numFmtId="0" fontId="28" fillId="0" borderId="17" xfId="0" applyFont="1" applyBorder="1" applyAlignment="1" applyProtection="1">
      <alignment horizontal="center"/>
      <protection hidden="1"/>
    </xf>
    <xf numFmtId="0" fontId="27" fillId="0" borderId="0" xfId="0" applyFont="1" applyBorder="1" applyAlignment="1" applyProtection="1">
      <alignment horizontal="center"/>
      <protection hidden="1"/>
    </xf>
    <xf numFmtId="0" fontId="27" fillId="0" borderId="15" xfId="0" applyFont="1" applyFill="1" applyBorder="1" applyAlignment="1" applyProtection="1">
      <alignment horizontal="center"/>
      <protection hidden="1"/>
    </xf>
    <xf numFmtId="1" fontId="29" fillId="0" borderId="0" xfId="0" applyNumberFormat="1" applyFont="1" applyAlignment="1" applyProtection="1">
      <alignment horizontal="center"/>
      <protection hidden="1"/>
    </xf>
    <xf numFmtId="0" fontId="0" fillId="0" borderId="0" xfId="0" applyAlignment="1" applyProtection="1">
      <protection hidden="1"/>
    </xf>
    <xf numFmtId="0" fontId="27" fillId="2" borderId="18" xfId="0" applyFont="1" applyFill="1" applyBorder="1" applyAlignment="1" applyProtection="1">
      <alignment horizontal="center"/>
      <protection locked="0"/>
    </xf>
    <xf numFmtId="0" fontId="27" fillId="2" borderId="19" xfId="0" applyFont="1" applyFill="1" applyBorder="1" applyAlignment="1" applyProtection="1">
      <alignment horizontal="center"/>
      <protection locked="0"/>
    </xf>
    <xf numFmtId="0" fontId="27" fillId="2" borderId="20" xfId="0" applyFont="1" applyFill="1" applyBorder="1" applyAlignment="1" applyProtection="1">
      <alignment horizontal="center"/>
      <protection locked="0"/>
    </xf>
    <xf numFmtId="0" fontId="27" fillId="2" borderId="21" xfId="0" applyFont="1" applyFill="1" applyBorder="1" applyAlignment="1" applyProtection="1">
      <alignment horizontal="center"/>
      <protection locked="0"/>
    </xf>
    <xf numFmtId="0" fontId="27" fillId="2" borderId="22" xfId="0" applyFont="1" applyFill="1" applyBorder="1" applyAlignment="1" applyProtection="1">
      <alignment horizontal="center"/>
      <protection locked="0"/>
    </xf>
    <xf numFmtId="0" fontId="27" fillId="2" borderId="23" xfId="0" applyFont="1" applyFill="1" applyBorder="1" applyAlignment="1" applyProtection="1">
      <alignment horizontal="center"/>
      <protection locked="0"/>
    </xf>
    <xf numFmtId="0" fontId="27" fillId="2" borderId="15" xfId="0" applyFont="1" applyFill="1" applyBorder="1" applyAlignment="1" applyProtection="1">
      <alignment horizontal="center"/>
      <protection locked="0"/>
    </xf>
    <xf numFmtId="0" fontId="27" fillId="2" borderId="24" xfId="0" applyFont="1" applyFill="1" applyBorder="1" applyAlignment="1" applyProtection="1">
      <alignment horizontal="center"/>
      <protection hidden="1"/>
    </xf>
    <xf numFmtId="0" fontId="20" fillId="2" borderId="25" xfId="0" applyFont="1" applyFill="1" applyBorder="1" applyProtection="1">
      <protection hidden="1"/>
    </xf>
    <xf numFmtId="0" fontId="13" fillId="0" borderId="0" xfId="0" applyFont="1" applyAlignment="1" applyProtection="1">
      <alignment horizontal="center" wrapText="1"/>
      <protection hidden="1"/>
    </xf>
    <xf numFmtId="0" fontId="0" fillId="0" borderId="0" xfId="0" applyAlignment="1" applyProtection="1">
      <alignment wrapText="1"/>
      <protection hidden="1"/>
    </xf>
    <xf numFmtId="0" fontId="14" fillId="0" borderId="0" xfId="0" applyFont="1" applyAlignment="1" applyProtection="1">
      <alignment horizontal="right" wrapText="1"/>
      <protection hidden="1"/>
    </xf>
    <xf numFmtId="0" fontId="15" fillId="0" borderId="0" xfId="0" applyFont="1" applyAlignment="1" applyProtection="1">
      <alignment horizontal="center" wrapText="1"/>
      <protection hidden="1"/>
    </xf>
    <xf numFmtId="0" fontId="3" fillId="0" borderId="0" xfId="0" applyFont="1" applyAlignment="1" applyProtection="1">
      <alignment horizontal="center" wrapText="1"/>
      <protection hidden="1"/>
    </xf>
    <xf numFmtId="0" fontId="8" fillId="0" borderId="0" xfId="0" applyFont="1" applyProtection="1">
      <protection hidden="1"/>
    </xf>
    <xf numFmtId="0" fontId="14" fillId="0" borderId="0" xfId="0" applyFont="1" applyAlignment="1" applyProtection="1">
      <alignment wrapText="1"/>
      <protection hidden="1"/>
    </xf>
    <xf numFmtId="0" fontId="13" fillId="0" borderId="0" xfId="0" applyFont="1" applyAlignment="1" applyProtection="1">
      <alignment wrapText="1"/>
      <protection hidden="1"/>
    </xf>
    <xf numFmtId="0" fontId="8" fillId="0" borderId="0" xfId="0" applyFont="1" applyAlignment="1" applyProtection="1">
      <alignment horizontal="center"/>
      <protection hidden="1"/>
    </xf>
    <xf numFmtId="0" fontId="13" fillId="0" borderId="0" xfId="0" applyFont="1" applyProtection="1">
      <protection hidden="1"/>
    </xf>
    <xf numFmtId="0" fontId="16" fillId="0" borderId="0" xfId="0" applyFont="1" applyAlignment="1" applyProtection="1">
      <alignment wrapText="1"/>
      <protection hidden="1"/>
    </xf>
    <xf numFmtId="0" fontId="16" fillId="0" borderId="0" xfId="0" applyFont="1" applyAlignment="1" applyProtection="1">
      <alignment horizontal="center" wrapText="1"/>
      <protection hidden="1"/>
    </xf>
    <xf numFmtId="0" fontId="19" fillId="0" borderId="4" xfId="0" applyFont="1" applyBorder="1" applyAlignment="1" applyProtection="1">
      <alignment horizontal="left"/>
      <protection hidden="1"/>
    </xf>
    <xf numFmtId="0" fontId="19" fillId="2" borderId="25" xfId="0" applyFont="1" applyFill="1" applyBorder="1" applyAlignment="1" applyProtection="1">
      <alignment horizontal="center"/>
      <protection hidden="1"/>
    </xf>
    <xf numFmtId="0" fontId="23" fillId="0" borderId="0" xfId="0" applyFont="1" applyAlignment="1" applyProtection="1">
      <alignment horizontal="center" wrapText="1"/>
      <protection hidden="1"/>
    </xf>
    <xf numFmtId="0" fontId="14" fillId="0" borderId="0" xfId="0" applyFont="1" applyAlignment="1" applyProtection="1">
      <alignment horizontal="center" wrapText="1"/>
      <protection hidden="1"/>
    </xf>
    <xf numFmtId="0" fontId="3" fillId="0" borderId="0" xfId="0" applyFont="1" applyAlignment="1" applyProtection="1">
      <alignment horizontal="center"/>
      <protection hidden="1"/>
    </xf>
    <xf numFmtId="0" fontId="19" fillId="2" borderId="25" xfId="0" applyFont="1" applyFill="1" applyBorder="1" applyProtection="1">
      <protection hidden="1"/>
    </xf>
    <xf numFmtId="0" fontId="0" fillId="0" borderId="9" xfId="0" applyBorder="1" applyProtection="1">
      <protection hidden="1"/>
    </xf>
    <xf numFmtId="0" fontId="3" fillId="0" borderId="0" xfId="0" applyFont="1" applyAlignment="1" applyProtection="1">
      <alignment wrapText="1"/>
      <protection hidden="1"/>
    </xf>
    <xf numFmtId="0" fontId="11" fillId="0" borderId="0" xfId="0" applyFont="1" applyProtection="1">
      <protection hidden="1"/>
    </xf>
    <xf numFmtId="0" fontId="10" fillId="4" borderId="9" xfId="0" applyFont="1" applyFill="1" applyBorder="1" applyProtection="1">
      <protection hidden="1"/>
    </xf>
    <xf numFmtId="0" fontId="11" fillId="4" borderId="10" xfId="0" applyFont="1" applyFill="1" applyBorder="1" applyProtection="1">
      <protection hidden="1"/>
    </xf>
    <xf numFmtId="0" fontId="11" fillId="4" borderId="12" xfId="0" applyFont="1" applyFill="1" applyBorder="1" applyProtection="1">
      <protection hidden="1"/>
    </xf>
    <xf numFmtId="0" fontId="0" fillId="0" borderId="26" xfId="0" applyBorder="1" applyAlignment="1" applyProtection="1">
      <alignment wrapText="1"/>
      <protection hidden="1"/>
    </xf>
    <xf numFmtId="0" fontId="0" fillId="0" borderId="26" xfId="0" applyBorder="1" applyAlignment="1" applyProtection="1">
      <alignment horizontal="center" wrapText="1"/>
      <protection hidden="1"/>
    </xf>
    <xf numFmtId="0" fontId="0" fillId="0" borderId="27" xfId="0" applyFill="1" applyBorder="1" applyAlignment="1" applyProtection="1">
      <alignment wrapText="1"/>
      <protection hidden="1"/>
    </xf>
    <xf numFmtId="167" fontId="0" fillId="0" borderId="26" xfId="0" applyNumberFormat="1" applyBorder="1" applyAlignment="1" applyProtection="1">
      <alignment horizontal="center" wrapText="1"/>
      <protection hidden="1"/>
    </xf>
    <xf numFmtId="1" fontId="3" fillId="3" borderId="26" xfId="0" applyNumberFormat="1" applyFont="1" applyFill="1" applyBorder="1" applyAlignment="1" applyProtection="1">
      <alignment horizontal="center" wrapText="1"/>
      <protection hidden="1"/>
    </xf>
    <xf numFmtId="167" fontId="0" fillId="0" borderId="26" xfId="0" applyNumberFormat="1" applyBorder="1" applyAlignment="1" applyProtection="1">
      <alignment wrapText="1"/>
      <protection hidden="1"/>
    </xf>
    <xf numFmtId="0" fontId="3" fillId="3" borderId="26" xfId="0" applyFont="1" applyFill="1" applyBorder="1" applyAlignment="1" applyProtection="1">
      <alignment horizontal="center" wrapText="1"/>
      <protection hidden="1"/>
    </xf>
    <xf numFmtId="0" fontId="3" fillId="6" borderId="26" xfId="0" applyFont="1" applyFill="1" applyBorder="1" applyAlignment="1" applyProtection="1">
      <alignment horizontal="center" wrapText="1"/>
      <protection hidden="1"/>
    </xf>
    <xf numFmtId="0" fontId="3" fillId="7" borderId="26" xfId="0" applyFont="1" applyFill="1" applyBorder="1" applyAlignment="1" applyProtection="1">
      <alignment horizontal="center" wrapText="1"/>
      <protection hidden="1"/>
    </xf>
    <xf numFmtId="1" fontId="3" fillId="8" borderId="26" xfId="0" applyNumberFormat="1" applyFont="1" applyFill="1" applyBorder="1" applyAlignment="1" applyProtection="1">
      <alignment horizontal="center" wrapText="1"/>
      <protection hidden="1"/>
    </xf>
    <xf numFmtId="0" fontId="3" fillId="8" borderId="26" xfId="0" applyFont="1" applyFill="1" applyBorder="1" applyAlignment="1" applyProtection="1">
      <alignment horizontal="center" wrapText="1"/>
      <protection hidden="1"/>
    </xf>
    <xf numFmtId="0" fontId="3" fillId="9" borderId="26" xfId="0" applyFont="1" applyFill="1" applyBorder="1" applyAlignment="1" applyProtection="1">
      <alignment horizontal="center" wrapText="1"/>
      <protection hidden="1"/>
    </xf>
    <xf numFmtId="1" fontId="0" fillId="0" borderId="26" xfId="0" applyNumberFormat="1" applyBorder="1" applyAlignment="1" applyProtection="1">
      <alignment wrapText="1"/>
      <protection hidden="1"/>
    </xf>
    <xf numFmtId="0" fontId="0" fillId="0" borderId="0" xfId="0" applyFill="1" applyBorder="1" applyAlignment="1" applyProtection="1">
      <alignment wrapText="1"/>
      <protection hidden="1"/>
    </xf>
    <xf numFmtId="0" fontId="3" fillId="10" borderId="26" xfId="0" applyFont="1" applyFill="1" applyBorder="1" applyAlignment="1" applyProtection="1">
      <alignment horizontal="center" wrapText="1"/>
      <protection hidden="1"/>
    </xf>
    <xf numFmtId="1" fontId="3" fillId="11" borderId="26" xfId="0" applyNumberFormat="1" applyFont="1" applyFill="1" applyBorder="1" applyAlignment="1" applyProtection="1">
      <alignment horizontal="center" wrapText="1"/>
      <protection hidden="1"/>
    </xf>
    <xf numFmtId="0" fontId="3" fillId="11" borderId="26" xfId="0" applyFont="1" applyFill="1" applyBorder="1" applyAlignment="1" applyProtection="1">
      <alignment horizontal="center" wrapText="1"/>
      <protection hidden="1"/>
    </xf>
    <xf numFmtId="0" fontId="3" fillId="12" borderId="26" xfId="0" applyFont="1" applyFill="1" applyBorder="1" applyAlignment="1" applyProtection="1">
      <alignment horizontal="center" wrapText="1"/>
      <protection hidden="1"/>
    </xf>
    <xf numFmtId="1" fontId="3" fillId="13" borderId="26" xfId="0" applyNumberFormat="1" applyFont="1" applyFill="1" applyBorder="1" applyAlignment="1" applyProtection="1">
      <alignment horizontal="center" wrapText="1"/>
      <protection hidden="1"/>
    </xf>
    <xf numFmtId="0" fontId="3" fillId="13" borderId="26" xfId="0" applyFont="1" applyFill="1" applyBorder="1" applyAlignment="1" applyProtection="1">
      <alignment horizontal="center" wrapText="1"/>
      <protection hidden="1"/>
    </xf>
    <xf numFmtId="1" fontId="3" fillId="14" borderId="26" xfId="0" applyNumberFormat="1" applyFont="1" applyFill="1" applyBorder="1" applyAlignment="1" applyProtection="1">
      <alignment horizontal="center" wrapText="1"/>
      <protection hidden="1"/>
    </xf>
    <xf numFmtId="0" fontId="3" fillId="14" borderId="26" xfId="0" applyFont="1" applyFill="1" applyBorder="1" applyAlignment="1" applyProtection="1">
      <alignment horizontal="center" wrapText="1"/>
      <protection hidden="1"/>
    </xf>
    <xf numFmtId="0" fontId="3" fillId="15" borderId="26" xfId="0" applyFont="1" applyFill="1" applyBorder="1" applyAlignment="1" applyProtection="1">
      <alignment horizontal="center" wrapText="1"/>
      <protection hidden="1"/>
    </xf>
    <xf numFmtId="0" fontId="3" fillId="16" borderId="26" xfId="0" applyFont="1" applyFill="1" applyBorder="1" applyAlignment="1" applyProtection="1">
      <alignment horizontal="center" wrapText="1"/>
      <protection hidden="1"/>
    </xf>
    <xf numFmtId="1" fontId="3" fillId="16" borderId="26" xfId="0" applyNumberFormat="1" applyFont="1" applyFill="1" applyBorder="1" applyAlignment="1" applyProtection="1">
      <alignment horizontal="center" wrapText="1"/>
      <protection hidden="1"/>
    </xf>
    <xf numFmtId="1" fontId="3" fillId="17" borderId="26" xfId="0" applyNumberFormat="1" applyFont="1" applyFill="1" applyBorder="1" applyAlignment="1" applyProtection="1">
      <alignment horizontal="center"/>
      <protection hidden="1"/>
    </xf>
    <xf numFmtId="0" fontId="3" fillId="17" borderId="26" xfId="0" applyFont="1" applyFill="1" applyBorder="1" applyAlignment="1" applyProtection="1">
      <alignment horizontal="center"/>
      <protection hidden="1"/>
    </xf>
    <xf numFmtId="168" fontId="0" fillId="0" borderId="0" xfId="0" applyNumberFormat="1" applyAlignment="1" applyProtection="1">
      <alignment horizontal="center"/>
      <protection hidden="1"/>
    </xf>
    <xf numFmtId="0" fontId="9" fillId="2" borderId="1" xfId="0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right"/>
      <protection hidden="1"/>
    </xf>
    <xf numFmtId="0" fontId="5" fillId="18" borderId="7" xfId="0" applyFont="1" applyFill="1" applyBorder="1" applyProtection="1">
      <protection hidden="1"/>
    </xf>
    <xf numFmtId="0" fontId="5" fillId="18" borderId="8" xfId="0" applyFont="1" applyFill="1" applyBorder="1" applyProtection="1">
      <protection hidden="1"/>
    </xf>
    <xf numFmtId="0" fontId="5" fillId="18" borderId="9" xfId="0" applyFont="1" applyFill="1" applyBorder="1" applyProtection="1">
      <protection hidden="1"/>
    </xf>
    <xf numFmtId="0" fontId="7" fillId="18" borderId="5" xfId="0" applyFont="1" applyFill="1" applyBorder="1" applyProtection="1">
      <protection hidden="1"/>
    </xf>
    <xf numFmtId="0" fontId="5" fillId="18" borderId="0" xfId="0" applyFont="1" applyFill="1" applyBorder="1" applyProtection="1">
      <protection hidden="1"/>
    </xf>
    <xf numFmtId="0" fontId="5" fillId="18" borderId="6" xfId="0" applyFont="1" applyFill="1" applyBorder="1" applyProtection="1">
      <protection hidden="1"/>
    </xf>
    <xf numFmtId="0" fontId="5" fillId="18" borderId="11" xfId="0" applyFont="1" applyFill="1" applyBorder="1" applyProtection="1">
      <protection hidden="1"/>
    </xf>
    <xf numFmtId="0" fontId="5" fillId="18" borderId="10" xfId="0" applyFont="1" applyFill="1" applyBorder="1" applyProtection="1">
      <protection hidden="1"/>
    </xf>
    <xf numFmtId="0" fontId="7" fillId="18" borderId="10" xfId="0" applyFont="1" applyFill="1" applyBorder="1" applyProtection="1">
      <protection hidden="1"/>
    </xf>
    <xf numFmtId="0" fontId="5" fillId="18" borderId="12" xfId="0" applyFont="1" applyFill="1" applyBorder="1" applyProtection="1">
      <protection hidden="1"/>
    </xf>
    <xf numFmtId="0" fontId="0" fillId="4" borderId="8" xfId="0" applyFill="1" applyBorder="1" applyProtection="1">
      <protection hidden="1"/>
    </xf>
    <xf numFmtId="0" fontId="0" fillId="4" borderId="11" xfId="0" applyFill="1" applyBorder="1" applyProtection="1">
      <protection hidden="1"/>
    </xf>
    <xf numFmtId="0" fontId="0" fillId="4" borderId="10" xfId="0" applyFill="1" applyBorder="1" applyProtection="1">
      <protection hidden="1"/>
    </xf>
    <xf numFmtId="0" fontId="0" fillId="4" borderId="12" xfId="0" applyFill="1" applyBorder="1" applyProtection="1">
      <protection hidden="1"/>
    </xf>
    <xf numFmtId="0" fontId="0" fillId="0" borderId="7" xfId="0" applyBorder="1" applyProtection="1">
      <protection hidden="1"/>
    </xf>
    <xf numFmtId="0" fontId="0" fillId="0" borderId="8" xfId="0" applyBorder="1" applyProtection="1">
      <protection hidden="1"/>
    </xf>
    <xf numFmtId="0" fontId="0" fillId="0" borderId="10" xfId="0" applyBorder="1" applyProtection="1">
      <protection hidden="1"/>
    </xf>
    <xf numFmtId="0" fontId="13" fillId="0" borderId="0" xfId="0" applyFont="1" applyAlignment="1" applyProtection="1">
      <alignment horizontal="left"/>
      <protection hidden="1"/>
    </xf>
    <xf numFmtId="171" fontId="29" fillId="0" borderId="0" xfId="0" applyNumberFormat="1" applyFont="1" applyBorder="1" applyAlignment="1" applyProtection="1">
      <alignment horizontal="center"/>
      <protection hidden="1"/>
    </xf>
    <xf numFmtId="0" fontId="27" fillId="19" borderId="18" xfId="0" applyFont="1" applyFill="1" applyBorder="1" applyAlignment="1" applyProtection="1">
      <alignment horizontal="center"/>
      <protection hidden="1"/>
    </xf>
    <xf numFmtId="0" fontId="27" fillId="19" borderId="19" xfId="0" applyFont="1" applyFill="1" applyBorder="1" applyAlignment="1" applyProtection="1">
      <alignment horizontal="center"/>
      <protection hidden="1"/>
    </xf>
    <xf numFmtId="0" fontId="27" fillId="19" borderId="20" xfId="0" applyFont="1" applyFill="1" applyBorder="1" applyAlignment="1" applyProtection="1">
      <alignment horizontal="center"/>
      <protection hidden="1"/>
    </xf>
    <xf numFmtId="0" fontId="27" fillId="19" borderId="23" xfId="0" applyFont="1" applyFill="1" applyBorder="1" applyAlignment="1" applyProtection="1">
      <alignment horizontal="center"/>
      <protection hidden="1"/>
    </xf>
    <xf numFmtId="0" fontId="27" fillId="19" borderId="21" xfId="0" applyFont="1" applyFill="1" applyBorder="1" applyAlignment="1" applyProtection="1">
      <alignment horizontal="center"/>
      <protection hidden="1"/>
    </xf>
    <xf numFmtId="0" fontId="27" fillId="19" borderId="22" xfId="0" applyFont="1" applyFill="1" applyBorder="1" applyAlignment="1" applyProtection="1">
      <alignment horizontal="center"/>
      <protection hidden="1"/>
    </xf>
    <xf numFmtId="0" fontId="27" fillId="7" borderId="13" xfId="0" applyFont="1" applyFill="1" applyBorder="1" applyAlignment="1" applyProtection="1">
      <alignment horizontal="center"/>
      <protection hidden="1"/>
    </xf>
    <xf numFmtId="0" fontId="27" fillId="19" borderId="13" xfId="0" applyFont="1" applyFill="1" applyBorder="1" applyAlignment="1" applyProtection="1">
      <alignment horizontal="center"/>
      <protection hidden="1"/>
    </xf>
    <xf numFmtId="0" fontId="27" fillId="3" borderId="13" xfId="0" applyFont="1" applyFill="1" applyBorder="1" applyAlignment="1" applyProtection="1">
      <alignment horizontal="center"/>
      <protection hidden="1"/>
    </xf>
    <xf numFmtId="0" fontId="28" fillId="3" borderId="13" xfId="0" applyFont="1" applyFill="1" applyBorder="1" applyAlignment="1" applyProtection="1">
      <alignment horizontal="center"/>
      <protection hidden="1"/>
    </xf>
    <xf numFmtId="0" fontId="29" fillId="3" borderId="13" xfId="0" applyFont="1" applyFill="1" applyBorder="1" applyAlignment="1" applyProtection="1">
      <alignment horizontal="center"/>
      <protection hidden="1"/>
    </xf>
    <xf numFmtId="0" fontId="27" fillId="8" borderId="13" xfId="0" applyFont="1" applyFill="1" applyBorder="1" applyAlignment="1" applyProtection="1">
      <alignment horizontal="center"/>
      <protection hidden="1"/>
    </xf>
    <xf numFmtId="0" fontId="28" fillId="5" borderId="0" xfId="0" applyFont="1" applyFill="1" applyAlignment="1" applyProtection="1">
      <alignment horizontal="center"/>
      <protection hidden="1"/>
    </xf>
    <xf numFmtId="0" fontId="27" fillId="3" borderId="0" xfId="0" applyFont="1" applyFill="1" applyBorder="1" applyAlignment="1" applyProtection="1">
      <alignment horizontal="center"/>
      <protection hidden="1"/>
    </xf>
    <xf numFmtId="0" fontId="28" fillId="3" borderId="0" xfId="0" applyFont="1" applyFill="1" applyBorder="1" applyAlignment="1" applyProtection="1">
      <alignment horizontal="center"/>
      <protection hidden="1"/>
    </xf>
    <xf numFmtId="0" fontId="36" fillId="3" borderId="0" xfId="0" applyFont="1" applyFill="1" applyBorder="1" applyAlignment="1" applyProtection="1">
      <alignment horizontal="center"/>
      <protection hidden="1"/>
    </xf>
    <xf numFmtId="0" fontId="6" fillId="3" borderId="0" xfId="0" applyFont="1" applyFill="1" applyBorder="1" applyAlignment="1" applyProtection="1">
      <alignment horizontal="center"/>
      <protection hidden="1"/>
    </xf>
    <xf numFmtId="0" fontId="27" fillId="3" borderId="0" xfId="0" applyFont="1" applyFill="1" applyAlignment="1" applyProtection="1">
      <alignment horizontal="center"/>
      <protection hidden="1"/>
    </xf>
    <xf numFmtId="0" fontId="44" fillId="0" borderId="0" xfId="0" applyFont="1" applyFill="1" applyBorder="1" applyAlignment="1" applyProtection="1">
      <alignment horizontal="center"/>
      <protection hidden="1"/>
    </xf>
    <xf numFmtId="0" fontId="27" fillId="0" borderId="0" xfId="0" applyFont="1" applyFill="1" applyAlignment="1" applyProtection="1">
      <alignment horizontal="center"/>
      <protection hidden="1"/>
    </xf>
    <xf numFmtId="0" fontId="36" fillId="4" borderId="0" xfId="0" applyFont="1" applyFill="1" applyBorder="1" applyAlignment="1" applyProtection="1">
      <alignment horizontal="center"/>
      <protection hidden="1"/>
    </xf>
    <xf numFmtId="0" fontId="27" fillId="0" borderId="0" xfId="0" applyFont="1" applyFill="1" applyBorder="1" applyAlignment="1" applyProtection="1">
      <alignment horizontal="left"/>
      <protection hidden="1"/>
    </xf>
    <xf numFmtId="0" fontId="28" fillId="0" borderId="0" xfId="0" applyFont="1" applyFill="1" applyBorder="1" applyAlignment="1" applyProtection="1">
      <alignment horizontal="left"/>
      <protection hidden="1"/>
    </xf>
    <xf numFmtId="0" fontId="36" fillId="20" borderId="0" xfId="0" applyFont="1" applyFill="1" applyAlignment="1" applyProtection="1">
      <alignment horizontal="center"/>
      <protection hidden="1"/>
    </xf>
    <xf numFmtId="0" fontId="59" fillId="0" borderId="0" xfId="0" applyFont="1" applyAlignment="1" applyProtection="1">
      <alignment horizontal="center"/>
      <protection hidden="1"/>
    </xf>
    <xf numFmtId="0" fontId="60" fillId="21" borderId="7" xfId="0" applyFont="1" applyFill="1" applyBorder="1" applyProtection="1">
      <protection hidden="1"/>
    </xf>
    <xf numFmtId="0" fontId="60" fillId="21" borderId="8" xfId="0" applyFont="1" applyFill="1" applyBorder="1" applyProtection="1">
      <protection hidden="1"/>
    </xf>
    <xf numFmtId="0" fontId="61" fillId="21" borderId="8" xfId="0" applyFont="1" applyFill="1" applyBorder="1" applyProtection="1">
      <protection hidden="1"/>
    </xf>
    <xf numFmtId="0" fontId="60" fillId="21" borderId="8" xfId="0" applyFont="1" applyFill="1" applyBorder="1" applyAlignment="1" applyProtection="1">
      <alignment horizontal="center"/>
      <protection hidden="1"/>
    </xf>
    <xf numFmtId="0" fontId="61" fillId="21" borderId="9" xfId="0" applyFont="1" applyFill="1" applyBorder="1" applyProtection="1">
      <protection hidden="1"/>
    </xf>
    <xf numFmtId="0" fontId="60" fillId="21" borderId="5" xfId="0" applyFont="1" applyFill="1" applyBorder="1" applyProtection="1">
      <protection hidden="1"/>
    </xf>
    <xf numFmtId="0" fontId="60" fillId="21" borderId="0" xfId="0" applyFont="1" applyFill="1" applyBorder="1" applyProtection="1">
      <protection hidden="1"/>
    </xf>
    <xf numFmtId="0" fontId="61" fillId="21" borderId="0" xfId="0" applyFont="1" applyFill="1" applyBorder="1" applyProtection="1">
      <protection hidden="1"/>
    </xf>
    <xf numFmtId="166" fontId="60" fillId="21" borderId="0" xfId="0" applyNumberFormat="1" applyFont="1" applyFill="1" applyBorder="1" applyAlignment="1" applyProtection="1">
      <alignment horizontal="center"/>
      <protection hidden="1"/>
    </xf>
    <xf numFmtId="0" fontId="60" fillId="21" borderId="0" xfId="0" applyFont="1" applyFill="1" applyBorder="1" applyAlignment="1" applyProtection="1">
      <alignment horizontal="center"/>
      <protection hidden="1"/>
    </xf>
    <xf numFmtId="0" fontId="60" fillId="21" borderId="0" xfId="0" applyFont="1" applyFill="1" applyBorder="1" applyAlignment="1" applyProtection="1">
      <alignment horizontal="left"/>
      <protection hidden="1"/>
    </xf>
    <xf numFmtId="0" fontId="61" fillId="21" borderId="6" xfId="0" applyFont="1" applyFill="1" applyBorder="1" applyProtection="1">
      <protection hidden="1"/>
    </xf>
    <xf numFmtId="0" fontId="61" fillId="21" borderId="5" xfId="0" applyFont="1" applyFill="1" applyBorder="1" applyProtection="1">
      <protection hidden="1"/>
    </xf>
    <xf numFmtId="0" fontId="61" fillId="21" borderId="11" xfId="0" applyFont="1" applyFill="1" applyBorder="1" applyProtection="1">
      <protection hidden="1"/>
    </xf>
    <xf numFmtId="0" fontId="60" fillId="21" borderId="10" xfId="0" applyFont="1" applyFill="1" applyBorder="1" applyProtection="1">
      <protection hidden="1"/>
    </xf>
    <xf numFmtId="0" fontId="61" fillId="21" borderId="10" xfId="0" applyFont="1" applyFill="1" applyBorder="1" applyProtection="1">
      <protection hidden="1"/>
    </xf>
    <xf numFmtId="166" fontId="60" fillId="21" borderId="10" xfId="0" applyNumberFormat="1" applyFont="1" applyFill="1" applyBorder="1" applyAlignment="1" applyProtection="1">
      <alignment horizontal="center"/>
      <protection hidden="1"/>
    </xf>
    <xf numFmtId="0" fontId="60" fillId="21" borderId="10" xfId="0" applyFont="1" applyFill="1" applyBorder="1" applyAlignment="1" applyProtection="1">
      <alignment horizontal="center"/>
      <protection hidden="1"/>
    </xf>
    <xf numFmtId="0" fontId="60" fillId="21" borderId="10" xfId="0" applyFont="1" applyFill="1" applyBorder="1" applyAlignment="1" applyProtection="1">
      <alignment horizontal="left"/>
      <protection hidden="1"/>
    </xf>
    <xf numFmtId="0" fontId="61" fillId="21" borderId="12" xfId="0" applyFont="1" applyFill="1" applyBorder="1" applyProtection="1">
      <protection hidden="1"/>
    </xf>
    <xf numFmtId="165" fontId="60" fillId="21" borderId="8" xfId="0" applyNumberFormat="1" applyFont="1" applyFill="1" applyBorder="1" applyAlignment="1" applyProtection="1">
      <alignment horizontal="center"/>
      <protection hidden="1"/>
    </xf>
    <xf numFmtId="165" fontId="60" fillId="21" borderId="0" xfId="0" applyNumberFormat="1" applyFont="1" applyFill="1" applyBorder="1" applyAlignment="1" applyProtection="1">
      <alignment horizontal="center"/>
      <protection hidden="1"/>
    </xf>
    <xf numFmtId="165" fontId="60" fillId="21" borderId="10" xfId="0" applyNumberFormat="1" applyFont="1" applyFill="1" applyBorder="1" applyAlignment="1" applyProtection="1">
      <alignment horizontal="center"/>
      <protection hidden="1"/>
    </xf>
    <xf numFmtId="0" fontId="37" fillId="0" borderId="0" xfId="0" applyFont="1" applyAlignment="1" applyProtection="1">
      <alignment horizontal="center"/>
      <protection hidden="1"/>
    </xf>
    <xf numFmtId="0" fontId="0" fillId="24" borderId="0" xfId="0" applyFill="1" applyProtection="1">
      <protection hidden="1"/>
    </xf>
    <xf numFmtId="171" fontId="0" fillId="24" borderId="0" xfId="0" applyNumberFormat="1" applyFill="1" applyProtection="1">
      <protection hidden="1"/>
    </xf>
    <xf numFmtId="0" fontId="0" fillId="24" borderId="0" xfId="0" applyFill="1" applyAlignment="1" applyProtection="1">
      <alignment horizontal="center"/>
      <protection hidden="1"/>
    </xf>
    <xf numFmtId="0" fontId="0" fillId="0" borderId="0" xfId="0" applyAlignment="1">
      <alignment horizontal="center"/>
    </xf>
    <xf numFmtId="14" fontId="29" fillId="0" borderId="0" xfId="0" applyNumberFormat="1" applyFont="1" applyBorder="1" applyAlignment="1" applyProtection="1">
      <alignment horizontal="center"/>
      <protection hidden="1"/>
    </xf>
    <xf numFmtId="0" fontId="37" fillId="0" borderId="0" xfId="0" applyFont="1" applyProtection="1">
      <protection hidden="1"/>
    </xf>
    <xf numFmtId="1" fontId="0" fillId="0" borderId="0" xfId="0" applyNumberFormat="1" applyProtection="1">
      <protection hidden="1"/>
    </xf>
    <xf numFmtId="1" fontId="62" fillId="0" borderId="0" xfId="0" applyNumberFormat="1" applyFont="1" applyAlignment="1" applyProtection="1">
      <alignment horizontal="center"/>
      <protection hidden="1"/>
    </xf>
    <xf numFmtId="1" fontId="62" fillId="0" borderId="0" xfId="0" applyNumberFormat="1" applyFont="1" applyAlignment="1" applyProtection="1">
      <alignment horizontal="right"/>
      <protection hidden="1"/>
    </xf>
    <xf numFmtId="1" fontId="62" fillId="0" borderId="0" xfId="0" applyNumberFormat="1" applyFont="1" applyBorder="1" applyAlignment="1" applyProtection="1">
      <alignment horizontal="center"/>
      <protection hidden="1"/>
    </xf>
    <xf numFmtId="0" fontId="46" fillId="0" borderId="0" xfId="0" applyFont="1" applyAlignment="1" applyProtection="1">
      <alignment horizontal="center"/>
      <protection hidden="1"/>
    </xf>
    <xf numFmtId="1" fontId="0" fillId="0" borderId="0" xfId="0" applyNumberFormat="1" applyAlignment="1" applyProtection="1">
      <alignment horizontal="center"/>
      <protection hidden="1"/>
    </xf>
    <xf numFmtId="173" fontId="44" fillId="0" borderId="0" xfId="0" applyNumberFormat="1" applyFont="1" applyBorder="1" applyAlignment="1" applyProtection="1">
      <alignment horizontal="center"/>
      <protection hidden="1"/>
    </xf>
    <xf numFmtId="15" fontId="0" fillId="0" borderId="0" xfId="0" applyNumberFormat="1" applyProtection="1">
      <protection hidden="1"/>
    </xf>
    <xf numFmtId="0" fontId="62" fillId="0" borderId="0" xfId="0" applyFont="1" applyBorder="1" applyAlignment="1" applyProtection="1">
      <alignment horizontal="right"/>
      <protection hidden="1"/>
    </xf>
    <xf numFmtId="3" fontId="29" fillId="0" borderId="0" xfId="0" applyNumberFormat="1" applyFont="1" applyBorder="1" applyAlignment="1" applyProtection="1">
      <alignment horizontal="center"/>
      <protection hidden="1"/>
    </xf>
    <xf numFmtId="0" fontId="0" fillId="0" borderId="0" xfId="0" applyAlignment="1">
      <alignment horizontal="left"/>
    </xf>
    <xf numFmtId="0" fontId="63" fillId="0" borderId="0" xfId="0" applyFont="1" applyBorder="1" applyAlignment="1" applyProtection="1">
      <alignment horizontal="center"/>
      <protection hidden="1"/>
    </xf>
    <xf numFmtId="0" fontId="63" fillId="0" borderId="0" xfId="0" applyFont="1" applyAlignment="1" applyProtection="1">
      <alignment horizontal="center"/>
      <protection hidden="1"/>
    </xf>
    <xf numFmtId="0" fontId="29" fillId="0" borderId="0" xfId="0" applyNumberFormat="1" applyFont="1" applyBorder="1" applyAlignment="1" applyProtection="1">
      <alignment horizontal="center"/>
      <protection hidden="1"/>
    </xf>
    <xf numFmtId="0" fontId="64" fillId="0" borderId="0" xfId="0" applyFont="1" applyBorder="1" applyAlignment="1" applyProtection="1">
      <alignment horizontal="center"/>
      <protection hidden="1"/>
    </xf>
    <xf numFmtId="0" fontId="65" fillId="25" borderId="0" xfId="0" applyFont="1" applyFill="1" applyProtection="1">
      <protection hidden="1"/>
    </xf>
    <xf numFmtId="1" fontId="0" fillId="0" borderId="0" xfId="0" applyNumberFormat="1"/>
    <xf numFmtId="0" fontId="8" fillId="0" borderId="0" xfId="0" applyFont="1" applyAlignment="1">
      <alignment horizontal="left"/>
    </xf>
    <xf numFmtId="49" fontId="0" fillId="0" borderId="0" xfId="0" applyNumberFormat="1" applyAlignment="1">
      <alignment horizontal="center"/>
    </xf>
    <xf numFmtId="0" fontId="29" fillId="0" borderId="0" xfId="0" applyFont="1" applyAlignment="1" applyProtection="1">
      <alignment horizontal="left"/>
      <protection hidden="1"/>
    </xf>
    <xf numFmtId="0" fontId="63" fillId="0" borderId="0" xfId="0" applyFont="1" applyAlignment="1" applyProtection="1">
      <alignment horizontal="left"/>
      <protection hidden="1"/>
    </xf>
    <xf numFmtId="15" fontId="29" fillId="0" borderId="0" xfId="0" applyNumberFormat="1" applyFont="1" applyAlignment="1" applyProtection="1">
      <alignment horizontal="center"/>
      <protection hidden="1"/>
    </xf>
    <xf numFmtId="0" fontId="0" fillId="26" borderId="0" xfId="0" applyFill="1" applyAlignment="1" applyProtection="1">
      <alignment horizontal="center"/>
      <protection hidden="1"/>
    </xf>
    <xf numFmtId="0" fontId="3" fillId="27" borderId="24" xfId="0" applyFont="1" applyFill="1" applyBorder="1" applyAlignment="1">
      <alignment horizontal="center"/>
    </xf>
    <xf numFmtId="0" fontId="3" fillId="0" borderId="0" xfId="0" applyFont="1"/>
    <xf numFmtId="0" fontId="13" fillId="0" borderId="0" xfId="0" applyFont="1"/>
    <xf numFmtId="0" fontId="65" fillId="0" borderId="0" xfId="0" applyFont="1"/>
    <xf numFmtId="1" fontId="0" fillId="0" borderId="0" xfId="0" applyNumberFormat="1" applyAlignment="1">
      <alignment horizontal="center"/>
    </xf>
    <xf numFmtId="1" fontId="3" fillId="0" borderId="0" xfId="0" applyNumberFormat="1" applyFont="1" applyAlignment="1" applyProtection="1">
      <alignment horizontal="center"/>
      <protection hidden="1"/>
    </xf>
    <xf numFmtId="1" fontId="0" fillId="3" borderId="0" xfId="0" applyNumberFormat="1" applyFill="1" applyProtection="1">
      <protection hidden="1"/>
    </xf>
    <xf numFmtId="0" fontId="59" fillId="0" borderId="0" xfId="0" applyFont="1" applyProtection="1">
      <protection hidden="1"/>
    </xf>
    <xf numFmtId="0" fontId="3" fillId="24" borderId="0" xfId="0" applyFont="1" applyFill="1" applyProtection="1">
      <protection hidden="1"/>
    </xf>
    <xf numFmtId="0" fontId="3" fillId="25" borderId="0" xfId="0" applyFont="1" applyFill="1"/>
    <xf numFmtId="3" fontId="0" fillId="0" borderId="0" xfId="0" applyNumberFormat="1" applyAlignment="1">
      <alignment horizontal="center"/>
    </xf>
    <xf numFmtId="0" fontId="66" fillId="0" borderId="0" xfId="0" applyFont="1"/>
    <xf numFmtId="0" fontId="3" fillId="28" borderId="0" xfId="0" applyFont="1" applyFill="1" applyAlignment="1">
      <alignment horizontal="center"/>
    </xf>
    <xf numFmtId="0" fontId="62" fillId="0" borderId="0" xfId="0" applyFont="1" applyBorder="1" applyAlignment="1" applyProtection="1">
      <alignment horizontal="center"/>
      <protection hidden="1"/>
    </xf>
    <xf numFmtId="0" fontId="59" fillId="0" borderId="0" xfId="0" applyFont="1"/>
    <xf numFmtId="3" fontId="62" fillId="0" borderId="0" xfId="0" applyNumberFormat="1" applyFont="1" applyBorder="1" applyAlignment="1" applyProtection="1">
      <alignment horizontal="center"/>
      <protection hidden="1"/>
    </xf>
    <xf numFmtId="0" fontId="3" fillId="0" borderId="0" xfId="0" applyFont="1" applyAlignment="1">
      <alignment horizontal="center"/>
    </xf>
    <xf numFmtId="16" fontId="13" fillId="0" borderId="0" xfId="0" applyNumberFormat="1" applyFont="1"/>
    <xf numFmtId="171" fontId="0" fillId="0" borderId="0" xfId="0" applyNumberFormat="1"/>
    <xf numFmtId="0" fontId="67" fillId="29" borderId="0" xfId="0" applyFont="1" applyFill="1"/>
    <xf numFmtId="0" fontId="49" fillId="0" borderId="0" xfId="0" applyFont="1"/>
    <xf numFmtId="0" fontId="13" fillId="0" borderId="0" xfId="0" applyFont="1" applyAlignment="1">
      <alignment horizontal="left" indent="1"/>
    </xf>
    <xf numFmtId="0" fontId="29" fillId="25" borderId="0" xfId="0" applyFont="1" applyFill="1" applyBorder="1" applyAlignment="1" applyProtection="1">
      <alignment horizontal="center"/>
      <protection hidden="1"/>
    </xf>
    <xf numFmtId="0" fontId="35" fillId="25" borderId="0" xfId="0" applyFont="1" applyFill="1" applyBorder="1" applyAlignment="1" applyProtection="1">
      <alignment horizontal="center"/>
      <protection hidden="1"/>
    </xf>
    <xf numFmtId="3" fontId="29" fillId="25" borderId="0" xfId="0" applyNumberFormat="1" applyFont="1" applyFill="1" applyBorder="1" applyAlignment="1" applyProtection="1">
      <alignment horizontal="center"/>
      <protection hidden="1"/>
    </xf>
    <xf numFmtId="0" fontId="29" fillId="25" borderId="0" xfId="0" applyFont="1" applyFill="1" applyAlignment="1" applyProtection="1">
      <alignment horizontal="center"/>
      <protection hidden="1"/>
    </xf>
    <xf numFmtId="0" fontId="13" fillId="0" borderId="0" xfId="0" applyFont="1" applyAlignment="1">
      <alignment horizontal="left"/>
    </xf>
    <xf numFmtId="171" fontId="29" fillId="0" borderId="0" xfId="0" applyNumberFormat="1" applyFont="1" applyBorder="1" applyAlignment="1" applyProtection="1">
      <alignment horizontal="left"/>
      <protection hidden="1"/>
    </xf>
    <xf numFmtId="0" fontId="61" fillId="0" borderId="0" xfId="0" applyFont="1" applyAlignment="1" applyProtection="1">
      <alignment horizontal="center"/>
      <protection hidden="1"/>
    </xf>
    <xf numFmtId="0" fontId="69" fillId="4" borderId="5" xfId="0" applyFont="1" applyFill="1" applyBorder="1" applyProtection="1">
      <protection hidden="1"/>
    </xf>
    <xf numFmtId="0" fontId="70" fillId="4" borderId="0" xfId="0" applyFont="1" applyFill="1" applyBorder="1" applyAlignment="1" applyProtection="1">
      <alignment horizontal="center"/>
      <protection hidden="1"/>
    </xf>
    <xf numFmtId="0" fontId="71" fillId="30" borderId="0" xfId="0" applyFont="1" applyFill="1" applyProtection="1">
      <protection hidden="1"/>
    </xf>
    <xf numFmtId="0" fontId="73" fillId="30" borderId="0" xfId="0" applyFont="1" applyFill="1" applyProtection="1">
      <protection hidden="1"/>
    </xf>
    <xf numFmtId="0" fontId="74" fillId="4" borderId="1" xfId="0" applyFont="1" applyFill="1" applyBorder="1" applyProtection="1">
      <protection hidden="1"/>
    </xf>
    <xf numFmtId="0" fontId="74" fillId="4" borderId="2" xfId="0" applyFont="1" applyFill="1" applyBorder="1" applyProtection="1">
      <protection hidden="1"/>
    </xf>
    <xf numFmtId="0" fontId="74" fillId="4" borderId="3" xfId="0" applyFont="1" applyFill="1" applyBorder="1" applyProtection="1">
      <protection hidden="1"/>
    </xf>
    <xf numFmtId="166" fontId="74" fillId="4" borderId="3" xfId="0" applyNumberFormat="1" applyFont="1" applyFill="1" applyBorder="1" applyAlignment="1" applyProtection="1">
      <alignment horizontal="center"/>
      <protection hidden="1"/>
    </xf>
    <xf numFmtId="0" fontId="74" fillId="4" borderId="3" xfId="0" applyFont="1" applyFill="1" applyBorder="1" applyAlignment="1" applyProtection="1">
      <alignment horizontal="center"/>
      <protection hidden="1"/>
    </xf>
    <xf numFmtId="0" fontId="74" fillId="4" borderId="3" xfId="0" applyFont="1" applyFill="1" applyBorder="1" applyAlignment="1" applyProtection="1">
      <alignment horizontal="left"/>
      <protection hidden="1"/>
    </xf>
    <xf numFmtId="0" fontId="60" fillId="31" borderId="8" xfId="0" applyFont="1" applyFill="1" applyBorder="1" applyProtection="1">
      <protection hidden="1"/>
    </xf>
    <xf numFmtId="0" fontId="61" fillId="31" borderId="8" xfId="0" applyFont="1" applyFill="1" applyBorder="1" applyProtection="1">
      <protection hidden="1"/>
    </xf>
    <xf numFmtId="166" fontId="60" fillId="31" borderId="8" xfId="0" applyNumberFormat="1" applyFont="1" applyFill="1" applyBorder="1" applyAlignment="1" applyProtection="1">
      <alignment horizontal="center"/>
      <protection hidden="1"/>
    </xf>
    <xf numFmtId="0" fontId="60" fillId="31" borderId="8" xfId="0" applyFont="1" applyFill="1" applyBorder="1" applyAlignment="1" applyProtection="1">
      <alignment horizontal="center"/>
      <protection hidden="1"/>
    </xf>
    <xf numFmtId="0" fontId="60" fillId="31" borderId="8" xfId="0" applyFont="1" applyFill="1" applyBorder="1" applyAlignment="1" applyProtection="1">
      <alignment horizontal="left"/>
      <protection hidden="1"/>
    </xf>
    <xf numFmtId="0" fontId="60" fillId="31" borderId="0" xfId="0" applyFont="1" applyFill="1" applyBorder="1" applyProtection="1">
      <protection hidden="1"/>
    </xf>
    <xf numFmtId="166" fontId="60" fillId="31" borderId="0" xfId="0" applyNumberFormat="1" applyFont="1" applyFill="1" applyBorder="1" applyAlignment="1" applyProtection="1">
      <alignment horizontal="center"/>
      <protection hidden="1"/>
    </xf>
    <xf numFmtId="0" fontId="60" fillId="31" borderId="0" xfId="0" applyFont="1" applyFill="1" applyBorder="1" applyAlignment="1" applyProtection="1">
      <alignment horizontal="center"/>
      <protection hidden="1"/>
    </xf>
    <xf numFmtId="0" fontId="60" fillId="31" borderId="0" xfId="0" applyFont="1" applyFill="1" applyBorder="1" applyAlignment="1" applyProtection="1">
      <alignment horizontal="left"/>
      <protection hidden="1"/>
    </xf>
    <xf numFmtId="0" fontId="61" fillId="31" borderId="0" xfId="0" applyFont="1" applyFill="1" applyBorder="1" applyProtection="1">
      <protection hidden="1"/>
    </xf>
    <xf numFmtId="0" fontId="28" fillId="29" borderId="18" xfId="0" applyFont="1" applyFill="1" applyBorder="1" applyAlignment="1" applyProtection="1">
      <alignment horizontal="center"/>
      <protection hidden="1"/>
    </xf>
    <xf numFmtId="0" fontId="29" fillId="29" borderId="18" xfId="0" applyFont="1" applyFill="1" applyBorder="1" applyAlignment="1" applyProtection="1">
      <alignment horizontal="center"/>
      <protection hidden="1"/>
    </xf>
    <xf numFmtId="0" fontId="28" fillId="29" borderId="19" xfId="0" applyFont="1" applyFill="1" applyBorder="1" applyAlignment="1" applyProtection="1">
      <alignment horizontal="center"/>
      <protection hidden="1"/>
    </xf>
    <xf numFmtId="0" fontId="29" fillId="29" borderId="19" xfId="0" applyFont="1" applyFill="1" applyBorder="1" applyAlignment="1" applyProtection="1">
      <alignment horizontal="center"/>
      <protection hidden="1"/>
    </xf>
    <xf numFmtId="0" fontId="28" fillId="29" borderId="21" xfId="0" applyFont="1" applyFill="1" applyBorder="1" applyAlignment="1" applyProtection="1">
      <alignment horizontal="center"/>
      <protection hidden="1"/>
    </xf>
    <xf numFmtId="0" fontId="28" fillId="29" borderId="20" xfId="0" applyFont="1" applyFill="1" applyBorder="1" applyAlignment="1" applyProtection="1">
      <alignment horizontal="center"/>
      <protection hidden="1"/>
    </xf>
    <xf numFmtId="0" fontId="28" fillId="29" borderId="23" xfId="0" applyFont="1" applyFill="1" applyBorder="1" applyAlignment="1" applyProtection="1">
      <alignment horizontal="center"/>
      <protection hidden="1"/>
    </xf>
    <xf numFmtId="0" fontId="29" fillId="29" borderId="23" xfId="0" applyFont="1" applyFill="1" applyBorder="1" applyAlignment="1" applyProtection="1">
      <alignment horizontal="center"/>
      <protection hidden="1"/>
    </xf>
    <xf numFmtId="0" fontId="28" fillId="29" borderId="16" xfId="0" applyFont="1" applyFill="1" applyBorder="1" applyAlignment="1" applyProtection="1">
      <alignment horizontal="center"/>
      <protection hidden="1"/>
    </xf>
    <xf numFmtId="0" fontId="28" fillId="29" borderId="29" xfId="0" applyFont="1" applyFill="1" applyBorder="1" applyAlignment="1" applyProtection="1">
      <alignment horizontal="center"/>
      <protection hidden="1"/>
    </xf>
    <xf numFmtId="0" fontId="28" fillId="29" borderId="30" xfId="0" applyFont="1" applyFill="1" applyBorder="1" applyAlignment="1" applyProtection="1">
      <alignment horizontal="center"/>
      <protection hidden="1"/>
    </xf>
    <xf numFmtId="0" fontId="28" fillId="29" borderId="22" xfId="0" applyFont="1" applyFill="1" applyBorder="1" applyAlignment="1" applyProtection="1">
      <alignment horizontal="center"/>
      <protection hidden="1"/>
    </xf>
    <xf numFmtId="0" fontId="75" fillId="32" borderId="0" xfId="0" applyFont="1" applyFill="1" applyAlignment="1" applyProtection="1">
      <alignment horizontal="center"/>
      <protection hidden="1"/>
    </xf>
    <xf numFmtId="0" fontId="27" fillId="33" borderId="0" xfId="0" applyFont="1" applyFill="1" applyAlignment="1" applyProtection="1">
      <alignment horizontal="center"/>
      <protection hidden="1"/>
    </xf>
    <xf numFmtId="0" fontId="36" fillId="34" borderId="0" xfId="0" applyFont="1" applyFill="1" applyBorder="1" applyAlignment="1" applyProtection="1">
      <alignment horizontal="center"/>
      <protection hidden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58" fillId="35" borderId="63" xfId="0" applyFont="1" applyFill="1" applyBorder="1" applyAlignment="1">
      <alignment horizontal="center" vertical="center"/>
    </xf>
    <xf numFmtId="0" fontId="58" fillId="35" borderId="63" xfId="0" applyFont="1" applyFill="1" applyBorder="1" applyAlignment="1">
      <alignment horizontal="left" vertical="center"/>
    </xf>
    <xf numFmtId="0" fontId="0" fillId="0" borderId="63" xfId="0" applyFill="1" applyBorder="1" applyAlignment="1">
      <alignment horizontal="center" vertical="center"/>
    </xf>
    <xf numFmtId="0" fontId="0" fillId="0" borderId="63" xfId="0" applyBorder="1" applyAlignment="1">
      <alignment horizontal="center"/>
    </xf>
    <xf numFmtId="174" fontId="0" fillId="0" borderId="63" xfId="0" applyNumberFormat="1" applyFill="1" applyBorder="1" applyAlignment="1">
      <alignment horizontal="left" vertical="center"/>
    </xf>
    <xf numFmtId="174" fontId="0" fillId="0" borderId="0" xfId="0" applyNumberFormat="1" applyFill="1" applyAlignment="1">
      <alignment vertical="center"/>
    </xf>
    <xf numFmtId="174" fontId="0" fillId="0" borderId="0" xfId="0" applyNumberFormat="1" applyFill="1" applyAlignment="1">
      <alignment horizontal="left" vertical="center"/>
    </xf>
    <xf numFmtId="14" fontId="0" fillId="0" borderId="0" xfId="0" applyNumberFormat="1"/>
    <xf numFmtId="0" fontId="13" fillId="0" borderId="5" xfId="0" applyFont="1" applyBorder="1" applyProtection="1">
      <protection hidden="1"/>
    </xf>
    <xf numFmtId="171" fontId="0" fillId="0" borderId="0" xfId="0" applyNumberFormat="1" applyAlignment="1" applyProtection="1">
      <alignment horizontal="center"/>
      <protection hidden="1"/>
    </xf>
    <xf numFmtId="0" fontId="0" fillId="0" borderId="0" xfId="0" applyFill="1" applyBorder="1" applyAlignment="1" applyProtection="1">
      <alignment horizontal="center" wrapText="1"/>
      <protection hidden="1"/>
    </xf>
    <xf numFmtId="168" fontId="13" fillId="0" borderId="0" xfId="0" applyNumberFormat="1" applyFont="1" applyAlignment="1" applyProtection="1">
      <alignment horizontal="center" wrapText="1"/>
      <protection hidden="1"/>
    </xf>
    <xf numFmtId="0" fontId="13" fillId="0" borderId="26" xfId="0" applyFont="1" applyBorder="1" applyAlignment="1" applyProtection="1">
      <alignment wrapText="1"/>
      <protection hidden="1"/>
    </xf>
    <xf numFmtId="1" fontId="60" fillId="22" borderId="26" xfId="0" applyNumberFormat="1" applyFont="1" applyFill="1" applyBorder="1" applyAlignment="1" applyProtection="1">
      <alignment horizontal="center" wrapText="1"/>
      <protection hidden="1"/>
    </xf>
    <xf numFmtId="0" fontId="60" fillId="22" borderId="26" xfId="0" applyFont="1" applyFill="1" applyBorder="1" applyAlignment="1" applyProtection="1">
      <alignment horizontal="center" wrapText="1"/>
      <protection hidden="1"/>
    </xf>
    <xf numFmtId="1" fontId="65" fillId="8" borderId="26" xfId="0" applyNumberFormat="1" applyFont="1" applyFill="1" applyBorder="1" applyAlignment="1" applyProtection="1">
      <alignment horizontal="center" wrapText="1"/>
      <protection hidden="1"/>
    </xf>
    <xf numFmtId="1" fontId="3" fillId="0" borderId="26" xfId="0" applyNumberFormat="1" applyFont="1" applyBorder="1" applyAlignment="1" applyProtection="1">
      <alignment horizontal="center" wrapText="1"/>
      <protection hidden="1"/>
    </xf>
    <xf numFmtId="0" fontId="3" fillId="0" borderId="26" xfId="0" applyFont="1" applyBorder="1" applyAlignment="1" applyProtection="1">
      <alignment horizontal="center" wrapText="1"/>
      <protection hidden="1"/>
    </xf>
    <xf numFmtId="1" fontId="60" fillId="11" borderId="26" xfId="0" applyNumberFormat="1" applyFont="1" applyFill="1" applyBorder="1" applyAlignment="1" applyProtection="1">
      <alignment horizontal="center" wrapText="1"/>
      <protection hidden="1"/>
    </xf>
    <xf numFmtId="0" fontId="13" fillId="0" borderId="26" xfId="0" applyFont="1" applyBorder="1" applyAlignment="1" applyProtection="1">
      <alignment horizontal="center" wrapText="1"/>
      <protection hidden="1"/>
    </xf>
    <xf numFmtId="1" fontId="0" fillId="0" borderId="26" xfId="0" applyNumberFormat="1" applyBorder="1" applyAlignment="1" applyProtection="1">
      <alignment horizontal="center" wrapText="1"/>
      <protection hidden="1"/>
    </xf>
    <xf numFmtId="0" fontId="65" fillId="15" borderId="26" xfId="0" applyFont="1" applyFill="1" applyBorder="1" applyAlignment="1" applyProtection="1">
      <alignment horizontal="center" wrapText="1"/>
      <protection hidden="1"/>
    </xf>
    <xf numFmtId="0" fontId="3" fillId="0" borderId="26" xfId="0" applyFont="1" applyBorder="1" applyAlignment="1" applyProtection="1">
      <alignment horizontal="center"/>
      <protection hidden="1"/>
    </xf>
    <xf numFmtId="16" fontId="0" fillId="0" borderId="0" xfId="0" applyNumberFormat="1" applyAlignment="1" applyProtection="1">
      <protection hidden="1"/>
    </xf>
    <xf numFmtId="0" fontId="0" fillId="0" borderId="0" xfId="0" applyAlignment="1" applyProtection="1">
      <alignment horizontal="left"/>
      <protection hidden="1"/>
    </xf>
    <xf numFmtId="0" fontId="3" fillId="0" borderId="0" xfId="0" applyFont="1" applyAlignment="1" applyProtection="1">
      <protection hidden="1"/>
    </xf>
    <xf numFmtId="171" fontId="3" fillId="0" borderId="0" xfId="0" applyNumberFormat="1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left"/>
      <protection hidden="1"/>
    </xf>
    <xf numFmtId="0" fontId="77" fillId="0" borderId="0" xfId="0" applyFont="1" applyAlignment="1" applyProtection="1">
      <alignment wrapText="1"/>
      <protection hidden="1"/>
    </xf>
    <xf numFmtId="0" fontId="3" fillId="0" borderId="0" xfId="0" applyFont="1" applyFill="1" applyBorder="1" applyAlignment="1" applyProtection="1">
      <alignment wrapText="1"/>
      <protection hidden="1"/>
    </xf>
    <xf numFmtId="0" fontId="13" fillId="0" borderId="0" xfId="0" applyFont="1" applyAlignment="1" applyProtection="1">
      <protection hidden="1"/>
    </xf>
    <xf numFmtId="0" fontId="65" fillId="0" borderId="0" xfId="0" applyFont="1" applyAlignment="1" applyProtection="1">
      <alignment horizontal="center"/>
      <protection hidden="1"/>
    </xf>
    <xf numFmtId="0" fontId="13" fillId="5" borderId="0" xfId="0" applyFont="1" applyFill="1" applyBorder="1" applyAlignment="1" applyProtection="1">
      <alignment horizontal="center" wrapText="1"/>
      <protection hidden="1"/>
    </xf>
    <xf numFmtId="0" fontId="13" fillId="0" borderId="0" xfId="0" applyFont="1" applyAlignment="1" applyProtection="1">
      <alignment horizontal="center"/>
      <protection hidden="1"/>
    </xf>
    <xf numFmtId="0" fontId="60" fillId="36" borderId="0" xfId="0" applyFont="1" applyFill="1" applyProtection="1">
      <protection hidden="1"/>
    </xf>
    <xf numFmtId="0" fontId="29" fillId="25" borderId="0" xfId="0" applyNumberFormat="1" applyFont="1" applyFill="1" applyBorder="1" applyAlignment="1" applyProtection="1">
      <alignment horizontal="center"/>
      <protection hidden="1"/>
    </xf>
    <xf numFmtId="0" fontId="9" fillId="2" borderId="1" xfId="2" applyNumberFormat="1" applyFont="1" applyFill="1" applyBorder="1" applyAlignment="1" applyProtection="1">
      <alignment horizontal="center"/>
      <protection hidden="1"/>
    </xf>
    <xf numFmtId="171" fontId="13" fillId="0" borderId="0" xfId="0" applyNumberFormat="1" applyFont="1"/>
    <xf numFmtId="14" fontId="13" fillId="0" borderId="0" xfId="0" applyNumberFormat="1" applyFont="1"/>
    <xf numFmtId="0" fontId="13" fillId="0" borderId="11" xfId="0" applyFont="1" applyBorder="1" applyProtection="1">
      <protection hidden="1"/>
    </xf>
    <xf numFmtId="0" fontId="3" fillId="6" borderId="7" xfId="0" applyFont="1" applyFill="1" applyBorder="1" applyProtection="1">
      <protection hidden="1"/>
    </xf>
    <xf numFmtId="0" fontId="3" fillId="6" borderId="8" xfId="0" applyFont="1" applyFill="1" applyBorder="1" applyProtection="1">
      <protection hidden="1"/>
    </xf>
    <xf numFmtId="0" fontId="0" fillId="6" borderId="8" xfId="0" applyFill="1" applyBorder="1" applyProtection="1">
      <protection hidden="1"/>
    </xf>
    <xf numFmtId="165" fontId="3" fillId="6" borderId="8" xfId="0" applyNumberFormat="1" applyFont="1" applyFill="1" applyBorder="1" applyAlignment="1" applyProtection="1">
      <alignment horizontal="center"/>
      <protection hidden="1"/>
    </xf>
    <xf numFmtId="0" fontId="3" fillId="6" borderId="8" xfId="0" applyFont="1" applyFill="1" applyBorder="1" applyAlignment="1" applyProtection="1">
      <alignment horizontal="center"/>
      <protection hidden="1"/>
    </xf>
    <xf numFmtId="0" fontId="0" fillId="6" borderId="9" xfId="0" applyFill="1" applyBorder="1" applyProtection="1">
      <protection hidden="1"/>
    </xf>
    <xf numFmtId="0" fontId="51" fillId="0" borderId="0" xfId="0" applyFont="1" applyAlignment="1">
      <alignment horizontal="left"/>
    </xf>
    <xf numFmtId="0" fontId="3" fillId="6" borderId="5" xfId="0" applyFont="1" applyFill="1" applyBorder="1" applyProtection="1">
      <protection hidden="1"/>
    </xf>
    <xf numFmtId="0" fontId="3" fillId="6" borderId="0" xfId="0" applyFont="1" applyFill="1" applyBorder="1" applyProtection="1">
      <protection hidden="1"/>
    </xf>
    <xf numFmtId="0" fontId="0" fillId="6" borderId="0" xfId="0" applyFill="1" applyBorder="1" applyProtection="1">
      <protection hidden="1"/>
    </xf>
    <xf numFmtId="165" fontId="3" fillId="6" borderId="0" xfId="0" applyNumberFormat="1" applyFont="1" applyFill="1" applyBorder="1" applyAlignment="1" applyProtection="1">
      <alignment horizontal="center"/>
      <protection hidden="1"/>
    </xf>
    <xf numFmtId="0" fontId="3" fillId="6" borderId="0" xfId="0" applyFont="1" applyFill="1" applyBorder="1" applyAlignment="1" applyProtection="1">
      <alignment horizontal="center"/>
      <protection hidden="1"/>
    </xf>
    <xf numFmtId="0" fontId="0" fillId="6" borderId="6" xfId="0" applyFill="1" applyBorder="1" applyProtection="1">
      <protection hidden="1"/>
    </xf>
    <xf numFmtId="0" fontId="52" fillId="0" borderId="0" xfId="0" applyFont="1" applyAlignment="1">
      <alignment horizontal="left"/>
    </xf>
    <xf numFmtId="0" fontId="3" fillId="6" borderId="11" xfId="0" applyFont="1" applyFill="1" applyBorder="1" applyProtection="1">
      <protection hidden="1"/>
    </xf>
    <xf numFmtId="0" fontId="3" fillId="6" borderId="10" xfId="0" applyFont="1" applyFill="1" applyBorder="1" applyProtection="1">
      <protection hidden="1"/>
    </xf>
    <xf numFmtId="0" fontId="0" fillId="6" borderId="10" xfId="0" applyFill="1" applyBorder="1" applyProtection="1">
      <protection hidden="1"/>
    </xf>
    <xf numFmtId="165" fontId="3" fillId="6" borderId="10" xfId="0" applyNumberFormat="1" applyFont="1" applyFill="1" applyBorder="1" applyAlignment="1" applyProtection="1">
      <alignment horizontal="center"/>
      <protection hidden="1"/>
    </xf>
    <xf numFmtId="0" fontId="3" fillId="6" borderId="10" xfId="0" applyFont="1" applyFill="1" applyBorder="1" applyAlignment="1" applyProtection="1">
      <alignment horizontal="center"/>
      <protection hidden="1"/>
    </xf>
    <xf numFmtId="0" fontId="0" fillId="6" borderId="12" xfId="0" applyFill="1" applyBorder="1" applyProtection="1">
      <protection hidden="1"/>
    </xf>
    <xf numFmtId="0" fontId="0" fillId="0" borderId="0" xfId="0" applyAlignment="1"/>
    <xf numFmtId="49" fontId="29" fillId="0" borderId="0" xfId="0" applyNumberFormat="1" applyFont="1" applyBorder="1" applyAlignment="1" applyProtection="1">
      <alignment horizontal="center"/>
      <protection hidden="1"/>
    </xf>
    <xf numFmtId="171" fontId="35" fillId="0" borderId="0" xfId="0" applyNumberFormat="1" applyFont="1" applyBorder="1" applyAlignment="1" applyProtection="1">
      <alignment horizontal="center"/>
      <protection hidden="1"/>
    </xf>
    <xf numFmtId="0" fontId="53" fillId="0" borderId="0" xfId="0" applyFont="1" applyAlignment="1">
      <alignment horizontal="left" indent="1"/>
    </xf>
    <xf numFmtId="0" fontId="72" fillId="4" borderId="7" xfId="0" applyFont="1" applyFill="1" applyBorder="1" applyProtection="1">
      <protection hidden="1"/>
    </xf>
    <xf numFmtId="0" fontId="72" fillId="4" borderId="8" xfId="0" applyFont="1" applyFill="1" applyBorder="1" applyProtection="1">
      <protection hidden="1"/>
    </xf>
    <xf numFmtId="0" fontId="72" fillId="4" borderId="8" xfId="0" applyFont="1" applyFill="1" applyBorder="1" applyAlignment="1" applyProtection="1">
      <alignment horizontal="center"/>
      <protection hidden="1"/>
    </xf>
    <xf numFmtId="0" fontId="72" fillId="4" borderId="9" xfId="0" applyFont="1" applyFill="1" applyBorder="1" applyProtection="1">
      <protection hidden="1"/>
    </xf>
    <xf numFmtId="0" fontId="41" fillId="0" borderId="0" xfId="0" applyFont="1" applyProtection="1">
      <protection hidden="1"/>
    </xf>
    <xf numFmtId="0" fontId="72" fillId="4" borderId="34" xfId="0" applyFont="1" applyFill="1" applyBorder="1" applyProtection="1">
      <protection hidden="1"/>
    </xf>
    <xf numFmtId="0" fontId="72" fillId="4" borderId="5" xfId="0" applyFont="1" applyFill="1" applyBorder="1" applyProtection="1">
      <protection hidden="1"/>
    </xf>
    <xf numFmtId="0" fontId="72" fillId="4" borderId="0" xfId="0" applyFont="1" applyFill="1" applyBorder="1" applyProtection="1">
      <protection hidden="1"/>
    </xf>
    <xf numFmtId="0" fontId="72" fillId="4" borderId="0" xfId="0" applyFont="1" applyFill="1" applyBorder="1" applyAlignment="1" applyProtection="1">
      <alignment horizontal="center"/>
      <protection hidden="1"/>
    </xf>
    <xf numFmtId="0" fontId="72" fillId="4" borderId="6" xfId="0" applyFont="1" applyFill="1" applyBorder="1" applyProtection="1">
      <protection hidden="1"/>
    </xf>
    <xf numFmtId="0" fontId="41" fillId="0" borderId="0" xfId="0" applyFont="1"/>
    <xf numFmtId="0" fontId="72" fillId="4" borderId="35" xfId="0" applyFont="1" applyFill="1" applyBorder="1" applyProtection="1">
      <protection hidden="1"/>
    </xf>
    <xf numFmtId="0" fontId="72" fillId="4" borderId="11" xfId="0" applyFont="1" applyFill="1" applyBorder="1" applyProtection="1">
      <protection hidden="1"/>
    </xf>
    <xf numFmtId="0" fontId="72" fillId="4" borderId="10" xfId="0" applyFont="1" applyFill="1" applyBorder="1" applyProtection="1">
      <protection hidden="1"/>
    </xf>
    <xf numFmtId="0" fontId="72" fillId="4" borderId="10" xfId="0" applyFont="1" applyFill="1" applyBorder="1" applyAlignment="1" applyProtection="1">
      <alignment horizontal="center"/>
      <protection hidden="1"/>
    </xf>
    <xf numFmtId="0" fontId="72" fillId="4" borderId="12" xfId="0" applyFont="1" applyFill="1" applyBorder="1" applyProtection="1">
      <protection hidden="1"/>
    </xf>
    <xf numFmtId="0" fontId="41" fillId="0" borderId="0" xfId="0" applyFont="1" applyAlignment="1">
      <alignment horizontal="left" indent="1"/>
    </xf>
    <xf numFmtId="0" fontId="40" fillId="37" borderId="25" xfId="0" applyFont="1" applyFill="1" applyBorder="1" applyAlignment="1" applyProtection="1">
      <alignment horizontal="center"/>
      <protection hidden="1"/>
    </xf>
    <xf numFmtId="0" fontId="41" fillId="28" borderId="25" xfId="0" applyFont="1" applyFill="1" applyBorder="1" applyAlignment="1" applyProtection="1">
      <alignment horizontal="center"/>
      <protection hidden="1"/>
    </xf>
    <xf numFmtId="0" fontId="3" fillId="0" borderId="6" xfId="0" applyFont="1" applyBorder="1" applyProtection="1"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3" fillId="0" borderId="0" xfId="0" applyFont="1" applyBorder="1" applyProtection="1">
      <protection hidden="1"/>
    </xf>
    <xf numFmtId="173" fontId="71" fillId="30" borderId="0" xfId="0" applyNumberFormat="1" applyFont="1" applyFill="1" applyAlignment="1" applyProtection="1">
      <alignment horizontal="center"/>
      <protection hidden="1"/>
    </xf>
    <xf numFmtId="173" fontId="0" fillId="0" borderId="0" xfId="0" applyNumberFormat="1" applyAlignment="1" applyProtection="1">
      <alignment horizontal="center"/>
      <protection hidden="1"/>
    </xf>
    <xf numFmtId="1" fontId="75" fillId="0" borderId="0" xfId="0" applyNumberFormat="1" applyFont="1" applyAlignment="1" applyProtection="1">
      <alignment horizontal="center"/>
      <protection hidden="1"/>
    </xf>
    <xf numFmtId="0" fontId="75" fillId="0" borderId="0" xfId="0" applyFont="1" applyAlignment="1" applyProtection="1">
      <alignment horizontal="center"/>
      <protection hidden="1"/>
    </xf>
    <xf numFmtId="0" fontId="62" fillId="0" borderId="0" xfId="0" applyFont="1" applyAlignment="1" applyProtection="1">
      <alignment horizontal="left"/>
      <protection hidden="1"/>
    </xf>
    <xf numFmtId="1" fontId="75" fillId="0" borderId="0" xfId="0" applyNumberFormat="1" applyFont="1" applyBorder="1" applyAlignment="1" applyProtection="1">
      <alignment horizontal="center"/>
      <protection hidden="1"/>
    </xf>
    <xf numFmtId="0" fontId="63" fillId="33" borderId="0" xfId="0" applyFont="1" applyFill="1" applyAlignment="1" applyProtection="1">
      <alignment horizontal="center"/>
      <protection hidden="1"/>
    </xf>
    <xf numFmtId="0" fontId="75" fillId="0" borderId="0" xfId="0" applyFont="1" applyBorder="1" applyAlignment="1" applyProtection="1">
      <alignment horizontal="center"/>
      <protection hidden="1"/>
    </xf>
    <xf numFmtId="0" fontId="62" fillId="0" borderId="0" xfId="0" applyFont="1" applyAlignment="1" applyProtection="1">
      <alignment horizontal="center"/>
      <protection hidden="1"/>
    </xf>
    <xf numFmtId="0" fontId="62" fillId="33" borderId="0" xfId="0" applyFont="1" applyFill="1" applyAlignment="1" applyProtection="1">
      <alignment horizontal="center"/>
      <protection hidden="1"/>
    </xf>
    <xf numFmtId="16" fontId="27" fillId="0" borderId="0" xfId="0" applyNumberFormat="1" applyFont="1" applyAlignment="1" applyProtection="1">
      <alignment horizontal="center"/>
      <protection hidden="1"/>
    </xf>
    <xf numFmtId="14" fontId="29" fillId="0" borderId="0" xfId="0" applyNumberFormat="1" applyFont="1" applyAlignment="1" applyProtection="1">
      <alignment horizontal="center"/>
      <protection hidden="1"/>
    </xf>
    <xf numFmtId="0" fontId="28" fillId="0" borderId="0" xfId="0" applyFont="1" applyBorder="1" applyAlignment="1" applyProtection="1">
      <alignment horizontal="left"/>
      <protection hidden="1"/>
    </xf>
    <xf numFmtId="0" fontId="62" fillId="33" borderId="0" xfId="0" applyFont="1" applyFill="1" applyAlignment="1" applyProtection="1">
      <alignment horizontal="left"/>
      <protection hidden="1"/>
    </xf>
    <xf numFmtId="0" fontId="30" fillId="33" borderId="0" xfId="0" applyFont="1" applyFill="1" applyAlignment="1" applyProtection="1">
      <alignment horizontal="center"/>
      <protection hidden="1"/>
    </xf>
    <xf numFmtId="0" fontId="29" fillId="0" borderId="0" xfId="0" applyFont="1" applyAlignment="1" applyProtection="1">
      <protection hidden="1"/>
    </xf>
    <xf numFmtId="3" fontId="29" fillId="0" borderId="0" xfId="0" applyNumberFormat="1" applyFont="1" applyAlignment="1" applyProtection="1">
      <alignment horizontal="center"/>
      <protection hidden="1"/>
    </xf>
    <xf numFmtId="175" fontId="27" fillId="0" borderId="0" xfId="0" applyNumberFormat="1" applyFont="1" applyAlignment="1" applyProtection="1">
      <alignment horizontal="center"/>
      <protection hidden="1"/>
    </xf>
    <xf numFmtId="176" fontId="27" fillId="0" borderId="0" xfId="0" applyNumberFormat="1" applyFont="1" applyAlignment="1" applyProtection="1">
      <alignment horizontal="center"/>
      <protection hidden="1"/>
    </xf>
    <xf numFmtId="0" fontId="39" fillId="0" borderId="0" xfId="0" applyFont="1" applyAlignment="1" applyProtection="1">
      <alignment horizontal="center"/>
      <protection hidden="1"/>
    </xf>
    <xf numFmtId="0" fontId="39" fillId="0" borderId="0" xfId="0" applyFont="1" applyProtection="1">
      <protection hidden="1"/>
    </xf>
    <xf numFmtId="171" fontId="39" fillId="0" borderId="0" xfId="0" applyNumberFormat="1" applyFont="1" applyAlignment="1" applyProtection="1">
      <alignment horizontal="center"/>
      <protection hidden="1"/>
    </xf>
    <xf numFmtId="168" fontId="39" fillId="0" borderId="0" xfId="0" applyNumberFormat="1" applyFont="1" applyProtection="1">
      <protection hidden="1"/>
    </xf>
    <xf numFmtId="16" fontId="34" fillId="0" borderId="0" xfId="0" applyNumberFormat="1" applyFont="1" applyAlignment="1" applyProtection="1">
      <alignment horizontal="center"/>
      <protection hidden="1"/>
    </xf>
    <xf numFmtId="0" fontId="78" fillId="38" borderId="0" xfId="0" applyFont="1" applyFill="1" applyAlignment="1" applyProtection="1">
      <alignment horizontal="center"/>
      <protection hidden="1"/>
    </xf>
    <xf numFmtId="0" fontId="27" fillId="39" borderId="0" xfId="0" applyFont="1" applyFill="1" applyAlignment="1" applyProtection="1">
      <alignment horizontal="center"/>
      <protection hidden="1"/>
    </xf>
    <xf numFmtId="0" fontId="27" fillId="40" borderId="0" xfId="0" applyFont="1" applyFill="1" applyAlignment="1" applyProtection="1">
      <alignment horizontal="center"/>
      <protection hidden="1"/>
    </xf>
    <xf numFmtId="0" fontId="75" fillId="41" borderId="0" xfId="0" applyFont="1" applyFill="1" applyAlignment="1" applyProtection="1">
      <alignment horizontal="center"/>
      <protection hidden="1"/>
    </xf>
    <xf numFmtId="1" fontId="27" fillId="0" borderId="0" xfId="0" applyNumberFormat="1" applyFont="1" applyAlignment="1" applyProtection="1">
      <alignment horizontal="center"/>
      <protection hidden="1"/>
    </xf>
    <xf numFmtId="0" fontId="75" fillId="36" borderId="0" xfId="0" applyFont="1" applyFill="1" applyAlignment="1" applyProtection="1">
      <alignment horizontal="center"/>
      <protection hidden="1"/>
    </xf>
    <xf numFmtId="15" fontId="0" fillId="0" borderId="0" xfId="0" applyNumberFormat="1" applyAlignment="1" applyProtection="1">
      <alignment horizontal="center"/>
      <protection hidden="1"/>
    </xf>
    <xf numFmtId="0" fontId="27" fillId="25" borderId="0" xfId="0" applyFont="1" applyFill="1" applyAlignment="1" applyProtection="1">
      <alignment horizontal="center"/>
      <protection hidden="1"/>
    </xf>
    <xf numFmtId="0" fontId="28" fillId="25" borderId="0" xfId="0" applyFont="1" applyFill="1" applyAlignment="1" applyProtection="1">
      <alignment horizontal="center"/>
      <protection hidden="1"/>
    </xf>
    <xf numFmtId="14" fontId="27" fillId="0" borderId="0" xfId="0" applyNumberFormat="1" applyFont="1" applyAlignment="1" applyProtection="1">
      <alignment horizontal="center"/>
      <protection hidden="1"/>
    </xf>
    <xf numFmtId="171" fontId="28" fillId="0" borderId="0" xfId="0" applyNumberFormat="1" applyFont="1" applyAlignment="1" applyProtection="1">
      <alignment horizontal="center"/>
      <protection hidden="1"/>
    </xf>
    <xf numFmtId="173" fontId="28" fillId="0" borderId="0" xfId="0" applyNumberFormat="1" applyFont="1" applyAlignment="1" applyProtection="1">
      <alignment horizontal="center"/>
      <protection hidden="1"/>
    </xf>
    <xf numFmtId="16" fontId="29" fillId="0" borderId="0" xfId="0" applyNumberFormat="1" applyFont="1" applyAlignment="1" applyProtection="1">
      <alignment horizontal="center"/>
      <protection hidden="1"/>
    </xf>
    <xf numFmtId="16" fontId="29" fillId="0" borderId="0" xfId="0" applyNumberFormat="1" applyFont="1" applyAlignment="1" applyProtection="1">
      <alignment horizontal="left"/>
      <protection hidden="1"/>
    </xf>
    <xf numFmtId="49" fontId="29" fillId="0" borderId="0" xfId="0" applyNumberFormat="1" applyFont="1" applyAlignment="1" applyProtection="1">
      <alignment horizontal="center"/>
      <protection hidden="1"/>
    </xf>
    <xf numFmtId="0" fontId="27" fillId="0" borderId="37" xfId="0" applyFont="1" applyBorder="1" applyAlignment="1" applyProtection="1">
      <alignment horizontal="center"/>
      <protection hidden="1"/>
    </xf>
    <xf numFmtId="0" fontId="28" fillId="0" borderId="37" xfId="0" applyFont="1" applyBorder="1" applyAlignment="1" applyProtection="1">
      <alignment horizontal="center"/>
      <protection hidden="1"/>
    </xf>
    <xf numFmtId="0" fontId="29" fillId="0" borderId="38" xfId="0" applyFont="1" applyBorder="1" applyAlignment="1" applyProtection="1">
      <alignment horizontal="center"/>
      <protection hidden="1"/>
    </xf>
    <xf numFmtId="0" fontId="27" fillId="0" borderId="39" xfId="0" applyFont="1" applyBorder="1" applyAlignment="1" applyProtection="1">
      <alignment horizontal="center"/>
      <protection hidden="1"/>
    </xf>
    <xf numFmtId="0" fontId="27" fillId="0" borderId="25" xfId="0" applyFont="1" applyBorder="1" applyAlignment="1" applyProtection="1">
      <alignment horizontal="center"/>
      <protection hidden="1"/>
    </xf>
    <xf numFmtId="0" fontId="27" fillId="0" borderId="40" xfId="0" applyFont="1" applyBorder="1" applyAlignment="1" applyProtection="1">
      <alignment horizontal="center"/>
      <protection hidden="1"/>
    </xf>
    <xf numFmtId="1" fontId="49" fillId="0" borderId="0" xfId="0" applyNumberFormat="1" applyFont="1"/>
    <xf numFmtId="171" fontId="29" fillId="0" borderId="0" xfId="0" applyNumberFormat="1" applyFont="1" applyAlignment="1" applyProtection="1">
      <alignment horizontal="center"/>
      <protection hidden="1"/>
    </xf>
    <xf numFmtId="0" fontId="28" fillId="0" borderId="25" xfId="0" applyFont="1" applyBorder="1" applyAlignment="1" applyProtection="1">
      <alignment horizontal="center"/>
      <protection hidden="1"/>
    </xf>
    <xf numFmtId="0" fontId="27" fillId="0" borderId="41" xfId="0" applyFont="1" applyBorder="1" applyAlignment="1" applyProtection="1">
      <alignment horizontal="center"/>
      <protection hidden="1"/>
    </xf>
    <xf numFmtId="0" fontId="27" fillId="0" borderId="42" xfId="0" applyFont="1" applyBorder="1" applyAlignment="1" applyProtection="1">
      <alignment horizontal="center"/>
      <protection hidden="1"/>
    </xf>
    <xf numFmtId="0" fontId="28" fillId="0" borderId="42" xfId="0" applyFont="1" applyBorder="1" applyAlignment="1" applyProtection="1">
      <alignment horizontal="center"/>
      <protection hidden="1"/>
    </xf>
    <xf numFmtId="16" fontId="28" fillId="0" borderId="0" xfId="0" applyNumberFormat="1" applyFont="1" applyAlignment="1" applyProtection="1">
      <alignment horizontal="center"/>
      <protection hidden="1"/>
    </xf>
    <xf numFmtId="16" fontId="62" fillId="0" borderId="0" xfId="0" applyNumberFormat="1" applyFont="1" applyAlignment="1" applyProtection="1">
      <alignment horizontal="center"/>
      <protection hidden="1"/>
    </xf>
    <xf numFmtId="0" fontId="55" fillId="0" borderId="0" xfId="0" applyFont="1"/>
    <xf numFmtId="0" fontId="11" fillId="0" borderId="0" xfId="0" applyFont="1"/>
    <xf numFmtId="0" fontId="13" fillId="0" borderId="0" xfId="0" applyFont="1" applyAlignment="1">
      <alignment horizontal="right"/>
    </xf>
    <xf numFmtId="1" fontId="0" fillId="0" borderId="0" xfId="0" applyNumberFormat="1" applyAlignment="1">
      <alignment horizontal="left"/>
    </xf>
    <xf numFmtId="0" fontId="6" fillId="0" borderId="0" xfId="0" applyFont="1"/>
    <xf numFmtId="0" fontId="13" fillId="0" borderId="0" xfId="0" applyFont="1" applyAlignment="1">
      <alignment horizontal="center"/>
    </xf>
    <xf numFmtId="16" fontId="0" fillId="0" borderId="0" xfId="0" applyNumberFormat="1"/>
    <xf numFmtId="0" fontId="8" fillId="0" borderId="0" xfId="0" applyFont="1"/>
    <xf numFmtId="49" fontId="9" fillId="2" borderId="0" xfId="0" applyNumberFormat="1" applyFont="1" applyFill="1" applyAlignment="1">
      <alignment horizontal="center"/>
    </xf>
    <xf numFmtId="1" fontId="0" fillId="42" borderId="24" xfId="0" applyNumberFormat="1" applyFill="1" applyBorder="1" applyAlignment="1" applyProtection="1">
      <alignment horizontal="center"/>
      <protection hidden="1"/>
    </xf>
    <xf numFmtId="1" fontId="8" fillId="25" borderId="0" xfId="0" applyNumberFormat="1" applyFont="1" applyFill="1" applyAlignment="1">
      <alignment horizontal="center"/>
    </xf>
    <xf numFmtId="0" fontId="56" fillId="42" borderId="52" xfId="0" applyFont="1" applyFill="1" applyBorder="1"/>
    <xf numFmtId="0" fontId="3" fillId="27" borderId="52" xfId="0" applyFont="1" applyFill="1" applyBorder="1" applyAlignment="1">
      <alignment horizontal="center"/>
    </xf>
    <xf numFmtId="0" fontId="3" fillId="27" borderId="53" xfId="0" applyFont="1" applyFill="1" applyBorder="1" applyAlignment="1">
      <alignment horizontal="center"/>
    </xf>
    <xf numFmtId="0" fontId="3" fillId="27" borderId="54" xfId="0" applyFont="1" applyFill="1" applyBorder="1" applyAlignment="1">
      <alignment horizontal="center"/>
    </xf>
    <xf numFmtId="171" fontId="0" fillId="0" borderId="0" xfId="0" applyNumberFormat="1" applyAlignment="1">
      <alignment horizontal="center"/>
    </xf>
    <xf numFmtId="170" fontId="0" fillId="0" borderId="0" xfId="0" applyNumberFormat="1"/>
    <xf numFmtId="177" fontId="0" fillId="0" borderId="0" xfId="0" applyNumberFormat="1"/>
    <xf numFmtId="2" fontId="0" fillId="0" borderId="0" xfId="0" applyNumberFormat="1"/>
    <xf numFmtId="0" fontId="79" fillId="43" borderId="25" xfId="0" applyFont="1" applyFill="1" applyBorder="1" applyAlignment="1" applyProtection="1">
      <alignment horizontal="center"/>
      <protection hidden="1"/>
    </xf>
    <xf numFmtId="171" fontId="79" fillId="43" borderId="25" xfId="0" applyNumberFormat="1" applyFont="1" applyFill="1" applyBorder="1" applyAlignment="1" applyProtection="1">
      <alignment horizontal="center"/>
      <protection hidden="1"/>
    </xf>
    <xf numFmtId="1" fontId="79" fillId="43" borderId="25" xfId="0" applyNumberFormat="1" applyFont="1" applyFill="1" applyBorder="1" applyAlignment="1" applyProtection="1">
      <alignment horizontal="center"/>
      <protection hidden="1"/>
    </xf>
    <xf numFmtId="0" fontId="57" fillId="0" borderId="0" xfId="0" applyFont="1" applyProtection="1">
      <protection hidden="1"/>
    </xf>
    <xf numFmtId="0" fontId="57" fillId="0" borderId="0" xfId="0" applyFont="1" applyAlignment="1" applyProtection="1">
      <alignment horizontal="center"/>
      <protection hidden="1"/>
    </xf>
    <xf numFmtId="0" fontId="29" fillId="0" borderId="0" xfId="0" applyFont="1" applyFill="1" applyBorder="1" applyAlignment="1" applyProtection="1">
      <alignment horizontal="center"/>
      <protection hidden="1"/>
    </xf>
    <xf numFmtId="0" fontId="29" fillId="0" borderId="0" xfId="0" applyFont="1" applyFill="1" applyBorder="1" applyAlignment="1" applyProtection="1">
      <alignment horizontal="left"/>
      <protection hidden="1"/>
    </xf>
    <xf numFmtId="16" fontId="63" fillId="0" borderId="0" xfId="0" applyNumberFormat="1" applyFont="1" applyAlignment="1" applyProtection="1">
      <alignment horizontal="center"/>
      <protection hidden="1"/>
    </xf>
    <xf numFmtId="1" fontId="13" fillId="0" borderId="26" xfId="0" applyNumberFormat="1" applyFont="1" applyBorder="1" applyAlignment="1" applyProtection="1">
      <alignment wrapText="1"/>
      <protection hidden="1"/>
    </xf>
    <xf numFmtId="0" fontId="0" fillId="0" borderId="26" xfId="0" applyBorder="1" applyProtection="1">
      <protection hidden="1"/>
    </xf>
    <xf numFmtId="0" fontId="48" fillId="0" borderId="0" xfId="0" applyFont="1" applyAlignment="1">
      <alignment horizontal="right"/>
    </xf>
    <xf numFmtId="0" fontId="80" fillId="4" borderId="4" xfId="0" applyFont="1" applyFill="1" applyBorder="1" applyProtection="1">
      <protection hidden="1"/>
    </xf>
    <xf numFmtId="0" fontId="70" fillId="4" borderId="7" xfId="0" applyFont="1" applyFill="1" applyBorder="1" applyProtection="1">
      <protection hidden="1"/>
    </xf>
    <xf numFmtId="0" fontId="70" fillId="4" borderId="8" xfId="0" applyFont="1" applyFill="1" applyBorder="1" applyProtection="1">
      <protection hidden="1"/>
    </xf>
    <xf numFmtId="0" fontId="74" fillId="4" borderId="11" xfId="0" applyFont="1" applyFill="1" applyBorder="1" applyProtection="1">
      <protection hidden="1"/>
    </xf>
    <xf numFmtId="171" fontId="27" fillId="0" borderId="0" xfId="0" applyNumberFormat="1" applyFont="1" applyAlignment="1" applyProtection="1">
      <alignment horizontal="center"/>
      <protection hidden="1"/>
    </xf>
    <xf numFmtId="0" fontId="62" fillId="0" borderId="0" xfId="0" applyFont="1" applyAlignment="1" applyProtection="1">
      <alignment horizontal="center"/>
      <protection hidden="1"/>
    </xf>
    <xf numFmtId="1" fontId="70" fillId="34" borderId="0" xfId="0" applyNumberFormat="1" applyFont="1" applyFill="1" applyAlignment="1">
      <alignment horizontal="center"/>
    </xf>
    <xf numFmtId="1" fontId="13" fillId="0" borderId="0" xfId="0" applyNumberFormat="1" applyFont="1"/>
    <xf numFmtId="0" fontId="85" fillId="30" borderId="44" xfId="0" applyFont="1" applyFill="1" applyBorder="1"/>
    <xf numFmtId="0" fontId="85" fillId="30" borderId="45" xfId="0" applyFont="1" applyFill="1" applyBorder="1"/>
    <xf numFmtId="0" fontId="85" fillId="30" borderId="46" xfId="0" applyFont="1" applyFill="1" applyBorder="1"/>
    <xf numFmtId="0" fontId="85" fillId="30" borderId="47" xfId="0" applyFont="1" applyFill="1" applyBorder="1"/>
    <xf numFmtId="0" fontId="85" fillId="30" borderId="0" xfId="0" applyFont="1" applyFill="1" applyBorder="1"/>
    <xf numFmtId="0" fontId="85" fillId="30" borderId="48" xfId="0" applyFont="1" applyFill="1" applyBorder="1"/>
    <xf numFmtId="0" fontId="85" fillId="30" borderId="49" xfId="0" applyFont="1" applyFill="1" applyBorder="1"/>
    <xf numFmtId="0" fontId="85" fillId="30" borderId="50" xfId="0" applyFont="1" applyFill="1" applyBorder="1"/>
    <xf numFmtId="0" fontId="85" fillId="30" borderId="51" xfId="0" applyFont="1" applyFill="1" applyBorder="1"/>
    <xf numFmtId="1" fontId="70" fillId="4" borderId="31" xfId="0" applyNumberFormat="1" applyFont="1" applyFill="1" applyBorder="1" applyProtection="1">
      <protection hidden="1"/>
    </xf>
    <xf numFmtId="0" fontId="70" fillId="4" borderId="28" xfId="0" applyFont="1" applyFill="1" applyBorder="1" applyProtection="1">
      <protection hidden="1"/>
    </xf>
    <xf numFmtId="0" fontId="86" fillId="30" borderId="32" xfId="0" applyFont="1" applyFill="1" applyBorder="1" applyAlignment="1" applyProtection="1">
      <alignment wrapText="1"/>
      <protection hidden="1"/>
    </xf>
    <xf numFmtId="0" fontId="86" fillId="30" borderId="33" xfId="0" applyFont="1" applyFill="1" applyBorder="1" applyAlignment="1" applyProtection="1">
      <alignment horizontal="center"/>
      <protection hidden="1"/>
    </xf>
    <xf numFmtId="0" fontId="72" fillId="30" borderId="0" xfId="0" applyFont="1" applyFill="1"/>
    <xf numFmtId="171" fontId="72" fillId="30" borderId="0" xfId="0" applyNumberFormat="1" applyFont="1" applyFill="1" applyAlignment="1">
      <alignment horizontal="center"/>
    </xf>
    <xf numFmtId="0" fontId="72" fillId="30" borderId="0" xfId="0" applyFont="1" applyFill="1" applyAlignment="1">
      <alignment horizontal="center"/>
    </xf>
    <xf numFmtId="0" fontId="85" fillId="30" borderId="11" xfId="0" applyFont="1" applyFill="1" applyBorder="1" applyProtection="1">
      <protection hidden="1"/>
    </xf>
    <xf numFmtId="0" fontId="85" fillId="30" borderId="12" xfId="0" applyFont="1" applyFill="1" applyBorder="1" applyAlignment="1" applyProtection="1">
      <alignment horizontal="center"/>
      <protection hidden="1"/>
    </xf>
    <xf numFmtId="0" fontId="85" fillId="30" borderId="2" xfId="0" applyFont="1" applyFill="1" applyBorder="1" applyProtection="1">
      <protection hidden="1"/>
    </xf>
    <xf numFmtId="0" fontId="71" fillId="30" borderId="3" xfId="0" applyFont="1" applyFill="1" applyBorder="1" applyProtection="1">
      <protection hidden="1"/>
    </xf>
    <xf numFmtId="0" fontId="85" fillId="30" borderId="3" xfId="0" applyFont="1" applyFill="1" applyBorder="1" applyProtection="1">
      <protection hidden="1"/>
    </xf>
    <xf numFmtId="0" fontId="85" fillId="30" borderId="4" xfId="0" applyFont="1" applyFill="1" applyBorder="1" applyProtection="1">
      <protection hidden="1"/>
    </xf>
    <xf numFmtId="0" fontId="85" fillId="30" borderId="7" xfId="0" applyFont="1" applyFill="1" applyBorder="1" applyProtection="1">
      <protection hidden="1"/>
    </xf>
    <xf numFmtId="0" fontId="71" fillId="30" borderId="9" xfId="0" applyFont="1" applyFill="1" applyBorder="1" applyProtection="1">
      <protection hidden="1"/>
    </xf>
    <xf numFmtId="0" fontId="85" fillId="30" borderId="12" xfId="0" applyFont="1" applyFill="1" applyBorder="1" applyProtection="1">
      <protection hidden="1"/>
    </xf>
    <xf numFmtId="14" fontId="59" fillId="29" borderId="0" xfId="0" applyNumberFormat="1" applyFont="1" applyFill="1"/>
    <xf numFmtId="0" fontId="29" fillId="0" borderId="0" xfId="0" applyFont="1" applyAlignment="1" applyProtection="1">
      <alignment horizontal="center"/>
      <protection hidden="1"/>
    </xf>
    <xf numFmtId="0" fontId="27" fillId="0" borderId="0" xfId="0" applyFont="1" applyAlignment="1" applyProtection="1">
      <alignment horizontal="center"/>
      <protection hidden="1"/>
    </xf>
    <xf numFmtId="171" fontId="27" fillId="0" borderId="0" xfId="0" applyNumberFormat="1" applyFont="1" applyAlignment="1" applyProtection="1">
      <alignment horizontal="center"/>
      <protection hidden="1"/>
    </xf>
    <xf numFmtId="0" fontId="62" fillId="0" borderId="0" xfId="0" applyFont="1" applyAlignment="1" applyProtection="1">
      <alignment horizontal="center"/>
      <protection hidden="1"/>
    </xf>
    <xf numFmtId="0" fontId="29" fillId="0" borderId="0" xfId="0" applyFont="1" applyBorder="1" applyAlignment="1" applyProtection="1">
      <alignment horizontal="center"/>
      <protection hidden="1"/>
    </xf>
    <xf numFmtId="14" fontId="29" fillId="0" borderId="0" xfId="0" applyNumberFormat="1" applyFont="1" applyBorder="1" applyAlignment="1" applyProtection="1">
      <alignment horizontal="center"/>
      <protection hidden="1"/>
    </xf>
    <xf numFmtId="0" fontId="30" fillId="0" borderId="0" xfId="0" applyFont="1" applyAlignment="1" applyProtection="1">
      <alignment horizontal="center"/>
      <protection hidden="1"/>
    </xf>
    <xf numFmtId="0" fontId="27" fillId="0" borderId="0" xfId="0" applyFont="1" applyAlignment="1" applyProtection="1">
      <alignment horizontal="center"/>
      <protection hidden="1"/>
    </xf>
    <xf numFmtId="0" fontId="29" fillId="0" borderId="0" xfId="0" applyFont="1" applyAlignment="1" applyProtection="1">
      <alignment horizontal="center"/>
      <protection hidden="1"/>
    </xf>
    <xf numFmtId="0" fontId="63" fillId="0" borderId="0" xfId="0" applyNumberFormat="1" applyFont="1" applyAlignment="1" applyProtection="1">
      <alignment horizontal="center"/>
      <protection hidden="1"/>
    </xf>
    <xf numFmtId="0" fontId="0" fillId="0" borderId="0" xfId="0" applyNumberFormat="1" applyAlignment="1">
      <alignment horizontal="center"/>
    </xf>
    <xf numFmtId="176" fontId="0" fillId="0" borderId="0" xfId="0" applyNumberFormat="1" applyAlignment="1">
      <alignment horizontal="center"/>
    </xf>
    <xf numFmtId="0" fontId="29" fillId="0" borderId="0" xfId="0" applyFont="1" applyAlignment="1" applyProtection="1">
      <alignment horizontal="left"/>
      <protection hidden="1"/>
    </xf>
    <xf numFmtId="0" fontId="87" fillId="30" borderId="0" xfId="0" applyFont="1" applyFill="1" applyAlignment="1" applyProtection="1">
      <alignment horizontal="center"/>
      <protection hidden="1"/>
    </xf>
    <xf numFmtId="171" fontId="87" fillId="30" borderId="0" xfId="0" applyNumberFormat="1" applyFont="1" applyFill="1" applyAlignment="1" applyProtection="1">
      <alignment horizontal="center"/>
      <protection hidden="1"/>
    </xf>
    <xf numFmtId="0" fontId="63" fillId="25" borderId="0" xfId="0" applyFont="1" applyFill="1" applyAlignment="1" applyProtection="1">
      <alignment horizontal="center"/>
      <protection hidden="1"/>
    </xf>
    <xf numFmtId="0" fontId="89" fillId="25" borderId="0" xfId="0" applyFont="1" applyFill="1" applyAlignment="1" applyProtection="1">
      <alignment horizontal="center"/>
      <protection hidden="1"/>
    </xf>
    <xf numFmtId="0" fontId="89" fillId="25" borderId="0" xfId="0" applyFont="1" applyFill="1" applyAlignment="1" applyProtection="1">
      <alignment horizontal="left"/>
      <protection hidden="1"/>
    </xf>
    <xf numFmtId="0" fontId="63" fillId="25" borderId="0" xfId="0" applyFont="1" applyFill="1" applyAlignment="1" applyProtection="1">
      <alignment horizontal="left"/>
      <protection hidden="1"/>
    </xf>
    <xf numFmtId="16" fontId="62" fillId="29" borderId="0" xfId="0" applyNumberFormat="1" applyFont="1" applyFill="1" applyAlignment="1" applyProtection="1">
      <alignment horizontal="center"/>
      <protection hidden="1"/>
    </xf>
    <xf numFmtId="0" fontId="72" fillId="30" borderId="0" xfId="0" applyFont="1" applyFill="1" applyAlignment="1" applyProtection="1">
      <alignment horizontal="center"/>
      <protection hidden="1"/>
    </xf>
    <xf numFmtId="0" fontId="62" fillId="29" borderId="0" xfId="0" applyFont="1" applyFill="1" applyAlignment="1" applyProtection="1">
      <alignment horizontal="center"/>
      <protection hidden="1"/>
    </xf>
    <xf numFmtId="16" fontId="62" fillId="46" borderId="0" xfId="0" applyNumberFormat="1" applyFont="1" applyFill="1" applyAlignment="1" applyProtection="1">
      <alignment horizontal="center"/>
      <protection hidden="1"/>
    </xf>
    <xf numFmtId="16" fontId="88" fillId="30" borderId="0" xfId="0" applyNumberFormat="1" applyFont="1" applyFill="1" applyAlignment="1" applyProtection="1">
      <alignment horizontal="center"/>
      <protection hidden="1"/>
    </xf>
    <xf numFmtId="0" fontId="27" fillId="34" borderId="0" xfId="0" applyFont="1" applyFill="1" applyAlignment="1" applyProtection="1">
      <alignment horizontal="center"/>
      <protection hidden="1"/>
    </xf>
    <xf numFmtId="0" fontId="62" fillId="34" borderId="0" xfId="0" applyFont="1" applyFill="1" applyAlignment="1" applyProtection="1">
      <alignment horizontal="center"/>
      <protection hidden="1"/>
    </xf>
    <xf numFmtId="17" fontId="62" fillId="34" borderId="0" xfId="0" applyNumberFormat="1" applyFont="1" applyFill="1" applyAlignment="1" applyProtection="1">
      <alignment horizontal="center"/>
      <protection hidden="1"/>
    </xf>
    <xf numFmtId="0" fontId="90" fillId="34" borderId="0" xfId="0" applyFont="1" applyFill="1" applyAlignment="1" applyProtection="1">
      <alignment horizontal="center"/>
      <protection hidden="1"/>
    </xf>
    <xf numFmtId="0" fontId="27" fillId="0" borderId="0" xfId="0" applyFont="1" applyAlignment="1" applyProtection="1">
      <alignment horizontal="center"/>
      <protection hidden="1"/>
    </xf>
    <xf numFmtId="14" fontId="39" fillId="0" borderId="0" xfId="0" applyNumberFormat="1" applyFont="1" applyBorder="1" applyAlignment="1" applyProtection="1">
      <protection hidden="1"/>
    </xf>
    <xf numFmtId="0" fontId="34" fillId="0" borderId="36" xfId="0" applyFont="1" applyBorder="1" applyAlignment="1" applyProtection="1">
      <alignment horizontal="center"/>
      <protection hidden="1"/>
    </xf>
    <xf numFmtId="0" fontId="34" fillId="0" borderId="37" xfId="0" applyFont="1" applyBorder="1" applyAlignment="1" applyProtection="1">
      <alignment horizontal="center"/>
      <protection hidden="1"/>
    </xf>
    <xf numFmtId="0" fontId="27" fillId="0" borderId="43" xfId="0" applyFont="1" applyBorder="1" applyAlignment="1" applyProtection="1">
      <alignment horizontal="center"/>
      <protection hidden="1"/>
    </xf>
    <xf numFmtId="0" fontId="70" fillId="4" borderId="0" xfId="0" applyFont="1" applyFill="1" applyAlignment="1">
      <alignment horizontal="left"/>
    </xf>
    <xf numFmtId="0" fontId="70" fillId="4" borderId="6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62" fillId="0" borderId="0" xfId="0" applyFont="1" applyAlignment="1" applyProtection="1">
      <alignment horizontal="center"/>
      <protection hidden="1"/>
    </xf>
    <xf numFmtId="0" fontId="2" fillId="0" borderId="0" xfId="0" applyFont="1"/>
    <xf numFmtId="0" fontId="69" fillId="4" borderId="5" xfId="0" applyFont="1" applyFill="1" applyBorder="1" applyAlignment="1" applyProtection="1">
      <alignment horizontal="left"/>
      <protection hidden="1"/>
    </xf>
    <xf numFmtId="0" fontId="45" fillId="0" borderId="0" xfId="0" applyFont="1" applyAlignment="1" applyProtection="1">
      <alignment horizontal="center"/>
      <protection hidden="1"/>
    </xf>
    <xf numFmtId="0" fontId="8" fillId="45" borderId="0" xfId="0" applyFont="1" applyFill="1" applyProtection="1">
      <protection hidden="1"/>
    </xf>
    <xf numFmtId="0" fontId="11" fillId="45" borderId="0" xfId="0" applyFont="1" applyFill="1" applyProtection="1">
      <protection hidden="1"/>
    </xf>
    <xf numFmtId="0" fontId="93" fillId="45" borderId="0" xfId="0" applyFont="1" applyFill="1" applyProtection="1">
      <protection hidden="1"/>
    </xf>
    <xf numFmtId="0" fontId="8" fillId="45" borderId="0" xfId="0" applyFont="1" applyFill="1" applyAlignment="1">
      <alignment horizontal="left"/>
    </xf>
    <xf numFmtId="0" fontId="8" fillId="28" borderId="0" xfId="0" applyFont="1" applyFill="1" applyAlignment="1" applyProtection="1">
      <alignment horizontal="center"/>
      <protection hidden="1"/>
    </xf>
    <xf numFmtId="1" fontId="8" fillId="28" borderId="0" xfId="0" applyNumberFormat="1" applyFont="1" applyFill="1" applyAlignment="1" applyProtection="1">
      <alignment horizontal="center"/>
      <protection hidden="1"/>
    </xf>
    <xf numFmtId="0" fontId="93" fillId="28" borderId="0" xfId="0" applyFont="1" applyFill="1" applyAlignment="1">
      <alignment horizontal="center"/>
    </xf>
    <xf numFmtId="171" fontId="8" fillId="28" borderId="0" xfId="0" applyNumberFormat="1" applyFont="1" applyFill="1" applyAlignment="1" applyProtection="1">
      <alignment horizontal="center"/>
      <protection hidden="1"/>
    </xf>
    <xf numFmtId="0" fontId="60" fillId="48" borderId="3" xfId="0" applyFont="1" applyFill="1" applyBorder="1" applyProtection="1">
      <protection hidden="1"/>
    </xf>
    <xf numFmtId="164" fontId="60" fillId="48" borderId="3" xfId="0" applyNumberFormat="1" applyFont="1" applyFill="1" applyBorder="1" applyProtection="1">
      <protection hidden="1"/>
    </xf>
    <xf numFmtId="0" fontId="60" fillId="48" borderId="3" xfId="0" applyFont="1" applyFill="1" applyBorder="1" applyAlignment="1" applyProtection="1">
      <alignment horizontal="center"/>
      <protection hidden="1"/>
    </xf>
    <xf numFmtId="0" fontId="65" fillId="49" borderId="8" xfId="0" applyFont="1" applyFill="1" applyBorder="1" applyProtection="1">
      <protection hidden="1"/>
    </xf>
    <xf numFmtId="0" fontId="59" fillId="49" borderId="8" xfId="0" applyFont="1" applyFill="1" applyBorder="1" applyProtection="1">
      <protection hidden="1"/>
    </xf>
    <xf numFmtId="166" fontId="65" fillId="49" borderId="8" xfId="0" applyNumberFormat="1" applyFont="1" applyFill="1" applyBorder="1" applyAlignment="1" applyProtection="1">
      <alignment horizontal="center"/>
      <protection hidden="1"/>
    </xf>
    <xf numFmtId="0" fontId="65" fillId="49" borderId="8" xfId="0" applyFont="1" applyFill="1" applyBorder="1" applyAlignment="1" applyProtection="1">
      <alignment horizontal="center"/>
      <protection hidden="1"/>
    </xf>
    <xf numFmtId="0" fontId="65" fillId="49" borderId="8" xfId="0" applyFont="1" applyFill="1" applyBorder="1" applyAlignment="1" applyProtection="1">
      <alignment horizontal="left"/>
      <protection hidden="1"/>
    </xf>
    <xf numFmtId="0" fontId="60" fillId="31" borderId="49" xfId="0" applyFont="1" applyFill="1" applyBorder="1" applyProtection="1">
      <protection hidden="1"/>
    </xf>
    <xf numFmtId="0" fontId="60" fillId="31" borderId="50" xfId="0" applyFont="1" applyFill="1" applyBorder="1" applyProtection="1">
      <protection hidden="1"/>
    </xf>
    <xf numFmtId="0" fontId="61" fillId="31" borderId="50" xfId="0" applyFont="1" applyFill="1" applyBorder="1" applyProtection="1">
      <protection hidden="1"/>
    </xf>
    <xf numFmtId="166" fontId="60" fillId="31" borderId="50" xfId="0" applyNumberFormat="1" applyFont="1" applyFill="1" applyBorder="1" applyAlignment="1" applyProtection="1">
      <alignment horizontal="center"/>
      <protection hidden="1"/>
    </xf>
    <xf numFmtId="0" fontId="60" fillId="31" borderId="50" xfId="0" applyFont="1" applyFill="1" applyBorder="1" applyAlignment="1" applyProtection="1">
      <alignment horizontal="center"/>
      <protection hidden="1"/>
    </xf>
    <xf numFmtId="0" fontId="60" fillId="31" borderId="50" xfId="0" applyFont="1" applyFill="1" applyBorder="1" applyAlignment="1" applyProtection="1">
      <alignment horizontal="left"/>
      <protection hidden="1"/>
    </xf>
    <xf numFmtId="0" fontId="61" fillId="31" borderId="51" xfId="0" applyFont="1" applyFill="1" applyBorder="1" applyProtection="1">
      <protection hidden="1"/>
    </xf>
    <xf numFmtId="0" fontId="60" fillId="31" borderId="47" xfId="0" applyFont="1" applyFill="1" applyBorder="1" applyProtection="1">
      <protection hidden="1"/>
    </xf>
    <xf numFmtId="0" fontId="61" fillId="31" borderId="48" xfId="0" applyFont="1" applyFill="1" applyBorder="1" applyProtection="1">
      <protection hidden="1"/>
    </xf>
    <xf numFmtId="0" fontId="60" fillId="48" borderId="44" xfId="0" applyFont="1" applyFill="1" applyBorder="1" applyProtection="1">
      <protection hidden="1"/>
    </xf>
    <xf numFmtId="0" fontId="60" fillId="48" borderId="45" xfId="0" applyFont="1" applyFill="1" applyBorder="1" applyProtection="1">
      <protection hidden="1"/>
    </xf>
    <xf numFmtId="166" fontId="60" fillId="48" borderId="45" xfId="0" applyNumberFormat="1" applyFont="1" applyFill="1" applyBorder="1" applyAlignment="1" applyProtection="1">
      <alignment horizontal="center"/>
      <protection hidden="1"/>
    </xf>
    <xf numFmtId="0" fontId="60" fillId="48" borderId="45" xfId="0" applyFont="1" applyFill="1" applyBorder="1" applyAlignment="1" applyProtection="1">
      <alignment horizontal="center"/>
      <protection hidden="1"/>
    </xf>
    <xf numFmtId="0" fontId="60" fillId="48" borderId="45" xfId="0" applyFont="1" applyFill="1" applyBorder="1" applyAlignment="1" applyProtection="1">
      <alignment horizontal="left"/>
      <protection hidden="1"/>
    </xf>
    <xf numFmtId="0" fontId="60" fillId="48" borderId="46" xfId="0" applyFont="1" applyFill="1" applyBorder="1" applyProtection="1">
      <protection hidden="1"/>
    </xf>
    <xf numFmtId="0" fontId="60" fillId="48" borderId="67" xfId="0" applyFont="1" applyFill="1" applyBorder="1" applyProtection="1">
      <protection hidden="1"/>
    </xf>
    <xf numFmtId="0" fontId="60" fillId="48" borderId="68" xfId="0" applyFont="1" applyFill="1" applyBorder="1" applyProtection="1">
      <protection hidden="1"/>
    </xf>
    <xf numFmtId="0" fontId="65" fillId="49" borderId="69" xfId="0" applyFont="1" applyFill="1" applyBorder="1" applyProtection="1">
      <protection hidden="1"/>
    </xf>
    <xf numFmtId="0" fontId="59" fillId="49" borderId="70" xfId="0" applyFont="1" applyFill="1" applyBorder="1" applyProtection="1">
      <protection hidden="1"/>
    </xf>
    <xf numFmtId="0" fontId="60" fillId="21" borderId="47" xfId="0" applyFont="1" applyFill="1" applyBorder="1" applyProtection="1">
      <protection hidden="1"/>
    </xf>
    <xf numFmtId="0" fontId="61" fillId="21" borderId="48" xfId="0" applyFont="1" applyFill="1" applyBorder="1" applyProtection="1">
      <protection hidden="1"/>
    </xf>
    <xf numFmtId="0" fontId="61" fillId="21" borderId="47" xfId="0" applyFont="1" applyFill="1" applyBorder="1" applyProtection="1">
      <protection hidden="1"/>
    </xf>
    <xf numFmtId="0" fontId="61" fillId="21" borderId="65" xfId="0" applyFont="1" applyFill="1" applyBorder="1" applyProtection="1">
      <protection hidden="1"/>
    </xf>
    <xf numFmtId="0" fontId="61" fillId="21" borderId="66" xfId="0" applyFont="1" applyFill="1" applyBorder="1" applyProtection="1">
      <protection hidden="1"/>
    </xf>
    <xf numFmtId="0" fontId="74" fillId="4" borderId="71" xfId="0" applyFont="1" applyFill="1" applyBorder="1" applyProtection="1">
      <protection hidden="1"/>
    </xf>
    <xf numFmtId="0" fontId="71" fillId="4" borderId="68" xfId="0" applyFont="1" applyFill="1" applyBorder="1" applyProtection="1">
      <protection hidden="1"/>
    </xf>
    <xf numFmtId="0" fontId="60" fillId="31" borderId="69" xfId="0" applyFont="1" applyFill="1" applyBorder="1" applyProtection="1">
      <protection hidden="1"/>
    </xf>
    <xf numFmtId="0" fontId="61" fillId="31" borderId="70" xfId="0" applyFont="1" applyFill="1" applyBorder="1" applyProtection="1">
      <protection hidden="1"/>
    </xf>
    <xf numFmtId="0" fontId="0" fillId="50" borderId="48" xfId="0" applyFill="1" applyBorder="1" applyProtection="1">
      <protection hidden="1"/>
    </xf>
    <xf numFmtId="0" fontId="60" fillId="50" borderId="47" xfId="0" applyFont="1" applyFill="1" applyBorder="1" applyProtection="1">
      <protection hidden="1"/>
    </xf>
    <xf numFmtId="0" fontId="60" fillId="50" borderId="0" xfId="0" applyFont="1" applyFill="1" applyBorder="1" applyProtection="1">
      <protection hidden="1"/>
    </xf>
    <xf numFmtId="166" fontId="60" fillId="50" borderId="0" xfId="0" applyNumberFormat="1" applyFont="1" applyFill="1" applyBorder="1" applyAlignment="1" applyProtection="1">
      <alignment horizontal="center"/>
      <protection hidden="1"/>
    </xf>
    <xf numFmtId="0" fontId="60" fillId="50" borderId="0" xfId="0" applyFont="1" applyFill="1" applyBorder="1" applyAlignment="1" applyProtection="1">
      <alignment horizontal="center"/>
      <protection hidden="1"/>
    </xf>
    <xf numFmtId="0" fontId="60" fillId="50" borderId="0" xfId="0" applyFont="1" applyFill="1" applyBorder="1" applyAlignment="1" applyProtection="1">
      <alignment horizontal="left"/>
      <protection hidden="1"/>
    </xf>
    <xf numFmtId="0" fontId="79" fillId="43" borderId="25" xfId="0" applyFont="1" applyFill="1" applyBorder="1" applyAlignment="1" applyProtection="1">
      <alignment horizontal="left"/>
      <protection hidden="1"/>
    </xf>
    <xf numFmtId="0" fontId="60" fillId="50" borderId="48" xfId="0" applyFont="1" applyFill="1" applyBorder="1" applyProtection="1">
      <protection hidden="1"/>
    </xf>
    <xf numFmtId="0" fontId="3" fillId="51" borderId="0" xfId="0" applyFont="1" applyFill="1" applyProtection="1">
      <protection hidden="1"/>
    </xf>
    <xf numFmtId="0" fontId="0" fillId="51" borderId="0" xfId="0" applyFill="1" applyProtection="1">
      <protection hidden="1"/>
    </xf>
    <xf numFmtId="0" fontId="45" fillId="51" borderId="0" xfId="0" applyFont="1" applyFill="1" applyAlignment="1" applyProtection="1">
      <alignment horizontal="center"/>
      <protection hidden="1"/>
    </xf>
    <xf numFmtId="0" fontId="24" fillId="51" borderId="0" xfId="0" applyFont="1" applyFill="1" applyAlignment="1" applyProtection="1">
      <alignment horizontal="center"/>
      <protection hidden="1"/>
    </xf>
    <xf numFmtId="0" fontId="25" fillId="51" borderId="0" xfId="0" applyFont="1" applyFill="1" applyAlignment="1" applyProtection="1">
      <alignment horizontal="center"/>
      <protection hidden="1"/>
    </xf>
    <xf numFmtId="0" fontId="94" fillId="51" borderId="0" xfId="0" applyFont="1" applyFill="1" applyAlignment="1" applyProtection="1">
      <alignment horizontal="center"/>
      <protection hidden="1"/>
    </xf>
    <xf numFmtId="0" fontId="26" fillId="51" borderId="0" xfId="0" applyFont="1" applyFill="1" applyAlignment="1" applyProtection="1">
      <alignment horizontal="left"/>
      <protection hidden="1"/>
    </xf>
    <xf numFmtId="0" fontId="0" fillId="51" borderId="0" xfId="0" applyFill="1" applyAlignment="1" applyProtection="1">
      <alignment horizontal="left"/>
      <protection hidden="1"/>
    </xf>
    <xf numFmtId="16" fontId="62" fillId="0" borderId="0" xfId="0" applyNumberFormat="1" applyFont="1" applyAlignment="1">
      <alignment horizontal="center"/>
    </xf>
    <xf numFmtId="0" fontId="0" fillId="51" borderId="0" xfId="0" applyFill="1" applyAlignment="1" applyProtection="1">
      <alignment horizontal="center"/>
      <protection hidden="1"/>
    </xf>
    <xf numFmtId="0" fontId="8" fillId="51" borderId="0" xfId="0" applyFont="1" applyFill="1" applyProtection="1">
      <protection hidden="1"/>
    </xf>
    <xf numFmtId="0" fontId="92" fillId="51" borderId="0" xfId="0" applyFont="1" applyFill="1" applyAlignment="1" applyProtection="1">
      <alignment horizontal="center"/>
      <protection hidden="1"/>
    </xf>
    <xf numFmtId="0" fontId="68" fillId="51" borderId="0" xfId="0" applyFont="1" applyFill="1" applyAlignment="1" applyProtection="1">
      <alignment horizontal="center"/>
      <protection hidden="1"/>
    </xf>
    <xf numFmtId="0" fontId="3" fillId="51" borderId="0" xfId="0" applyFont="1" applyFill="1" applyAlignment="1" applyProtection="1">
      <alignment horizontal="center"/>
      <protection hidden="1"/>
    </xf>
    <xf numFmtId="0" fontId="0" fillId="27" borderId="63" xfId="0" applyFill="1" applyBorder="1" applyAlignment="1" applyProtection="1">
      <alignment horizontal="center" vertical="center"/>
      <protection locked="0"/>
    </xf>
    <xf numFmtId="0" fontId="96" fillId="28" borderId="63" xfId="4" applyFill="1" applyBorder="1" applyProtection="1">
      <protection hidden="1"/>
    </xf>
    <xf numFmtId="0" fontId="2" fillId="28" borderId="63" xfId="4" applyFont="1" applyFill="1" applyBorder="1" applyProtection="1">
      <protection hidden="1"/>
    </xf>
    <xf numFmtId="0" fontId="1" fillId="52" borderId="63" xfId="3" applyFill="1" applyBorder="1"/>
    <xf numFmtId="0" fontId="76" fillId="28" borderId="63" xfId="4" applyFont="1" applyFill="1" applyBorder="1" applyAlignment="1">
      <alignment horizontal="right" vertical="center" wrapText="1"/>
    </xf>
    <xf numFmtId="0" fontId="2" fillId="28" borderId="63" xfId="4" applyFont="1" applyFill="1" applyBorder="1" applyAlignment="1" applyProtection="1">
      <alignment horizontal="right"/>
      <protection hidden="1"/>
    </xf>
    <xf numFmtId="0" fontId="96" fillId="28" borderId="63" xfId="4" applyFill="1" applyBorder="1" applyAlignment="1" applyProtection="1">
      <alignment horizontal="right"/>
      <protection hidden="1"/>
    </xf>
    <xf numFmtId="0" fontId="1" fillId="52" borderId="63" xfId="3" applyFill="1" applyBorder="1" applyAlignment="1">
      <alignment horizontal="right"/>
    </xf>
    <xf numFmtId="0" fontId="70" fillId="4" borderId="2" xfId="0" applyFont="1" applyFill="1" applyBorder="1" applyAlignment="1" applyProtection="1">
      <alignment horizontal="center"/>
      <protection hidden="1"/>
    </xf>
    <xf numFmtId="0" fontId="69" fillId="0" borderId="3" xfId="0" applyFont="1" applyBorder="1" applyAlignment="1" applyProtection="1">
      <alignment horizontal="center"/>
      <protection hidden="1"/>
    </xf>
    <xf numFmtId="0" fontId="69" fillId="0" borderId="4" xfId="0" applyFont="1" applyBorder="1" applyAlignment="1" applyProtection="1">
      <alignment horizontal="center"/>
      <protection hidden="1"/>
    </xf>
    <xf numFmtId="0" fontId="65" fillId="47" borderId="55" xfId="0" applyFont="1" applyFill="1" applyBorder="1" applyAlignment="1" applyProtection="1">
      <alignment horizontal="center"/>
      <protection hidden="1"/>
    </xf>
    <xf numFmtId="0" fontId="65" fillId="47" borderId="56" xfId="0" applyFont="1" applyFill="1" applyBorder="1" applyAlignment="1" applyProtection="1">
      <alignment horizontal="center"/>
      <protection hidden="1"/>
    </xf>
    <xf numFmtId="0" fontId="65" fillId="47" borderId="57" xfId="0" applyFont="1" applyFill="1" applyBorder="1" applyAlignment="1" applyProtection="1">
      <alignment horizontal="center"/>
      <protection hidden="1"/>
    </xf>
    <xf numFmtId="0" fontId="4" fillId="3" borderId="7" xfId="0" applyFont="1" applyFill="1" applyBorder="1" applyAlignment="1" applyProtection="1">
      <alignment horizontal="center"/>
      <protection hidden="1"/>
    </xf>
    <xf numFmtId="0" fontId="12" fillId="3" borderId="9" xfId="0" applyFont="1" applyFill="1" applyBorder="1" applyAlignment="1" applyProtection="1">
      <alignment horizontal="center"/>
      <protection hidden="1"/>
    </xf>
    <xf numFmtId="0" fontId="81" fillId="4" borderId="7" xfId="0" applyFont="1" applyFill="1" applyBorder="1" applyAlignment="1" applyProtection="1">
      <alignment horizontal="center"/>
      <protection hidden="1"/>
    </xf>
    <xf numFmtId="0" fontId="84" fillId="0" borderId="8" xfId="0" applyFont="1" applyBorder="1" applyAlignment="1">
      <alignment horizontal="center"/>
    </xf>
    <xf numFmtId="0" fontId="84" fillId="0" borderId="9" xfId="0" applyFont="1" applyBorder="1" applyAlignment="1">
      <alignment horizontal="center"/>
    </xf>
    <xf numFmtId="0" fontId="74" fillId="30" borderId="11" xfId="0" applyFont="1" applyFill="1" applyBorder="1" applyAlignment="1" applyProtection="1">
      <alignment horizontal="center"/>
      <protection hidden="1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3" borderId="11" xfId="0" applyFont="1" applyFill="1" applyBorder="1" applyAlignment="1" applyProtection="1">
      <alignment horizontal="center"/>
      <protection hidden="1"/>
    </xf>
    <xf numFmtId="0" fontId="74" fillId="4" borderId="11" xfId="0" applyFont="1" applyFill="1" applyBorder="1" applyAlignment="1" applyProtection="1">
      <alignment horizontal="center"/>
      <protection hidden="1"/>
    </xf>
    <xf numFmtId="0" fontId="26" fillId="51" borderId="0" xfId="0" applyFont="1" applyFill="1" applyAlignment="1" applyProtection="1">
      <alignment horizontal="center"/>
      <protection hidden="1"/>
    </xf>
    <xf numFmtId="14" fontId="29" fillId="0" borderId="0" xfId="0" applyNumberFormat="1" applyFont="1" applyBorder="1" applyAlignment="1" applyProtection="1">
      <alignment horizontal="center"/>
      <protection hidden="1"/>
    </xf>
    <xf numFmtId="14" fontId="39" fillId="0" borderId="0" xfId="0" applyNumberFormat="1" applyFont="1" applyBorder="1" applyProtection="1">
      <protection hidden="1"/>
    </xf>
    <xf numFmtId="0" fontId="63" fillId="0" borderId="0" xfId="0" applyNumberFormat="1" applyFont="1" applyAlignment="1" applyProtection="1">
      <alignment horizontal="center"/>
      <protection hidden="1"/>
    </xf>
    <xf numFmtId="0" fontId="0" fillId="0" borderId="0" xfId="0" applyNumberFormat="1" applyAlignment="1">
      <alignment horizontal="center"/>
    </xf>
    <xf numFmtId="0" fontId="49" fillId="0" borderId="0" xfId="0" applyFont="1" applyAlignment="1"/>
    <xf numFmtId="0" fontId="0" fillId="0" borderId="0" xfId="0" applyAlignment="1"/>
    <xf numFmtId="171" fontId="49" fillId="0" borderId="0" xfId="0" applyNumberFormat="1" applyFont="1" applyAlignment="1"/>
    <xf numFmtId="171" fontId="0" fillId="0" borderId="0" xfId="0" applyNumberFormat="1" applyAlignment="1"/>
    <xf numFmtId="15" fontId="3" fillId="0" borderId="0" xfId="0" applyNumberFormat="1" applyFont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3" fillId="19" borderId="55" xfId="0" applyFont="1" applyFill="1" applyBorder="1" applyAlignment="1" applyProtection="1">
      <alignment horizontal="center" wrapText="1"/>
      <protection hidden="1"/>
    </xf>
    <xf numFmtId="0" fontId="13" fillId="19" borderId="56" xfId="0" applyFont="1" applyFill="1" applyBorder="1" applyAlignment="1" applyProtection="1">
      <alignment horizontal="center" wrapText="1"/>
      <protection hidden="1"/>
    </xf>
    <xf numFmtId="0" fontId="13" fillId="19" borderId="57" xfId="0" applyFont="1" applyFill="1" applyBorder="1" applyAlignment="1" applyProtection="1">
      <alignment horizontal="center" wrapText="1"/>
      <protection hidden="1"/>
    </xf>
    <xf numFmtId="0" fontId="40" fillId="0" borderId="0" xfId="0" applyFont="1" applyAlignment="1" applyProtection="1">
      <alignment horizontal="center" wrapText="1"/>
      <protection hidden="1"/>
    </xf>
    <xf numFmtId="0" fontId="29" fillId="0" borderId="0" xfId="0" applyFont="1" applyBorder="1" applyAlignment="1" applyProtection="1">
      <alignment horizontal="center"/>
      <protection hidden="1"/>
    </xf>
    <xf numFmtId="0" fontId="31" fillId="0" borderId="0" xfId="0" applyFont="1" applyBorder="1" applyAlignment="1" applyProtection="1">
      <alignment horizontal="center"/>
      <protection hidden="1"/>
    </xf>
    <xf numFmtId="0" fontId="33" fillId="0" borderId="0" xfId="0" applyFont="1" applyBorder="1" applyAlignment="1" applyProtection="1">
      <alignment horizontal="center"/>
      <protection hidden="1"/>
    </xf>
    <xf numFmtId="0" fontId="45" fillId="0" borderId="0" xfId="0" applyFont="1" applyAlignment="1">
      <alignment horizontal="center"/>
    </xf>
    <xf numFmtId="0" fontId="4" fillId="23" borderId="55" xfId="0" applyFont="1" applyFill="1" applyBorder="1" applyAlignment="1" applyProtection="1">
      <alignment horizontal="center"/>
      <protection hidden="1"/>
    </xf>
    <xf numFmtId="0" fontId="12" fillId="0" borderId="56" xfId="0" applyFont="1" applyBorder="1" applyAlignment="1" applyProtection="1">
      <alignment horizontal="center"/>
      <protection hidden="1"/>
    </xf>
    <xf numFmtId="49" fontId="9" fillId="23" borderId="56" xfId="0" applyNumberFormat="1" applyFont="1" applyFill="1" applyBorder="1" applyAlignment="1" applyProtection="1">
      <alignment horizontal="center"/>
      <protection hidden="1"/>
    </xf>
    <xf numFmtId="0" fontId="9" fillId="0" borderId="56" xfId="0" applyFont="1" applyBorder="1" applyAlignment="1" applyProtection="1">
      <alignment horizontal="center"/>
      <protection hidden="1"/>
    </xf>
    <xf numFmtId="0" fontId="9" fillId="0" borderId="57" xfId="0" applyFont="1" applyBorder="1" applyAlignment="1" applyProtection="1">
      <alignment horizontal="center"/>
      <protection hidden="1"/>
    </xf>
    <xf numFmtId="49" fontId="4" fillId="0" borderId="55" xfId="0" applyNumberFormat="1" applyFont="1" applyFill="1" applyBorder="1" applyAlignment="1" applyProtection="1">
      <alignment horizontal="center"/>
      <protection hidden="1"/>
    </xf>
    <xf numFmtId="0" fontId="12" fillId="0" borderId="56" xfId="0" applyFont="1" applyFill="1" applyBorder="1" applyAlignment="1" applyProtection="1">
      <alignment horizontal="center"/>
      <protection hidden="1"/>
    </xf>
    <xf numFmtId="0" fontId="12" fillId="0" borderId="57" xfId="0" applyFont="1" applyFill="1" applyBorder="1" applyAlignment="1" applyProtection="1">
      <alignment horizontal="center"/>
      <protection hidden="1"/>
    </xf>
    <xf numFmtId="15" fontId="29" fillId="0" borderId="59" xfId="0" applyNumberFormat="1" applyFont="1" applyBorder="1" applyAlignment="1" applyProtection="1">
      <alignment horizontal="center"/>
      <protection hidden="1"/>
    </xf>
    <xf numFmtId="49" fontId="29" fillId="0" borderId="60" xfId="0" applyNumberFormat="1" applyFont="1" applyBorder="1" applyAlignment="1" applyProtection="1">
      <alignment horizontal="center"/>
      <protection hidden="1"/>
    </xf>
    <xf numFmtId="49" fontId="29" fillId="0" borderId="61" xfId="0" applyNumberFormat="1" applyFont="1" applyBorder="1" applyAlignment="1" applyProtection="1">
      <alignment horizontal="center"/>
      <protection hidden="1"/>
    </xf>
    <xf numFmtId="0" fontId="26" fillId="13" borderId="55" xfId="0" applyFont="1" applyFill="1" applyBorder="1" applyAlignment="1" applyProtection="1">
      <alignment horizontal="center"/>
      <protection hidden="1"/>
    </xf>
    <xf numFmtId="0" fontId="26" fillId="13" borderId="56" xfId="0" applyFont="1" applyFill="1" applyBorder="1" applyAlignment="1" applyProtection="1">
      <alignment horizontal="center"/>
      <protection hidden="1"/>
    </xf>
    <xf numFmtId="0" fontId="26" fillId="13" borderId="57" xfId="0" applyFont="1" applyFill="1" applyBorder="1" applyAlignment="1" applyProtection="1">
      <alignment horizontal="center"/>
      <protection hidden="1"/>
    </xf>
    <xf numFmtId="1" fontId="29" fillId="0" borderId="0" xfId="0" applyNumberFormat="1" applyFont="1" applyBorder="1" applyAlignment="1" applyProtection="1">
      <alignment horizontal="center"/>
      <protection hidden="1"/>
    </xf>
    <xf numFmtId="1" fontId="0" fillId="0" borderId="0" xfId="0" applyNumberFormat="1" applyAlignment="1" applyProtection="1">
      <alignment horizontal="center"/>
      <protection hidden="1"/>
    </xf>
    <xf numFmtId="14" fontId="32" fillId="0" borderId="0" xfId="0" applyNumberFormat="1" applyFont="1" applyBorder="1" applyAlignment="1" applyProtection="1">
      <alignment horizontal="left"/>
      <protection hidden="1"/>
    </xf>
    <xf numFmtId="0" fontId="31" fillId="0" borderId="0" xfId="0" applyFont="1" applyBorder="1" applyAlignment="1" applyProtection="1">
      <alignment horizontal="left"/>
      <protection hidden="1"/>
    </xf>
    <xf numFmtId="1" fontId="33" fillId="0" borderId="0" xfId="0" applyNumberFormat="1" applyFont="1" applyBorder="1" applyAlignment="1" applyProtection="1">
      <alignment horizontal="center"/>
      <protection hidden="1"/>
    </xf>
    <xf numFmtId="0" fontId="33" fillId="0" borderId="0" xfId="0" applyNumberFormat="1" applyFont="1" applyBorder="1" applyAlignment="1" applyProtection="1">
      <alignment horizontal="center"/>
      <protection hidden="1"/>
    </xf>
    <xf numFmtId="1" fontId="62" fillId="0" borderId="0" xfId="0" applyNumberFormat="1" applyFont="1" applyBorder="1" applyAlignment="1" applyProtection="1">
      <alignment horizontal="center"/>
      <protection hidden="1"/>
    </xf>
    <xf numFmtId="0" fontId="83" fillId="0" borderId="0" xfId="0" applyFont="1" applyBorder="1" applyProtection="1">
      <protection hidden="1"/>
    </xf>
    <xf numFmtId="0" fontId="27" fillId="0" borderId="62" xfId="0" applyFont="1" applyBorder="1" applyAlignment="1" applyProtection="1">
      <alignment horizontal="center"/>
      <protection hidden="1"/>
    </xf>
    <xf numFmtId="49" fontId="29" fillId="0" borderId="0" xfId="0" applyNumberFormat="1" applyFont="1" applyBorder="1" applyAlignment="1" applyProtection="1">
      <alignment horizontal="center"/>
      <protection hidden="1"/>
    </xf>
    <xf numFmtId="0" fontId="31" fillId="0" borderId="0" xfId="0" applyFont="1" applyBorder="1" applyProtection="1">
      <protection hidden="1"/>
    </xf>
    <xf numFmtId="14" fontId="27" fillId="0" borderId="56" xfId="0" applyNumberFormat="1" applyFont="1" applyBorder="1" applyAlignment="1" applyProtection="1">
      <alignment horizontal="center"/>
      <protection hidden="1"/>
    </xf>
    <xf numFmtId="14" fontId="37" fillId="0" borderId="56" xfId="0" applyNumberFormat="1" applyFont="1" applyBorder="1" applyAlignment="1" applyProtection="1">
      <alignment horizontal="center"/>
      <protection hidden="1"/>
    </xf>
    <xf numFmtId="15" fontId="29" fillId="0" borderId="0" xfId="0" applyNumberFormat="1" applyFont="1" applyBorder="1" applyAlignment="1" applyProtection="1">
      <alignment horizontal="center"/>
      <protection hidden="1"/>
    </xf>
    <xf numFmtId="14" fontId="62" fillId="0" borderId="0" xfId="0" applyNumberFormat="1" applyFont="1" applyBorder="1" applyAlignment="1" applyProtection="1">
      <alignment horizontal="center"/>
      <protection hidden="1"/>
    </xf>
    <xf numFmtId="1" fontId="6" fillId="0" borderId="0" xfId="0" applyNumberFormat="1" applyFont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27" fillId="8" borderId="16" xfId="0" applyFont="1" applyFill="1" applyBorder="1" applyAlignment="1" applyProtection="1">
      <alignment horizontal="center" vertical="center" textRotation="90"/>
      <protection locked="0" hidden="1"/>
    </xf>
    <xf numFmtId="0" fontId="0" fillId="8" borderId="15" xfId="0" applyFill="1" applyBorder="1" applyAlignment="1">
      <alignment horizontal="center" vertical="center"/>
    </xf>
    <xf numFmtId="0" fontId="0" fillId="8" borderId="20" xfId="0" applyFill="1" applyBorder="1" applyAlignment="1">
      <alignment horizontal="center" vertical="center"/>
    </xf>
    <xf numFmtId="3" fontId="29" fillId="0" borderId="0" xfId="0" applyNumberFormat="1" applyFont="1" applyBorder="1" applyAlignment="1" applyProtection="1">
      <alignment horizontal="center"/>
      <protection hidden="1"/>
    </xf>
    <xf numFmtId="3" fontId="0" fillId="0" borderId="0" xfId="0" applyNumberFormat="1" applyAlignment="1">
      <alignment horizontal="center"/>
    </xf>
    <xf numFmtId="0" fontId="6" fillId="0" borderId="0" xfId="0" applyNumberFormat="1" applyFont="1" applyBorder="1" applyAlignment="1" applyProtection="1">
      <alignment horizontal="left"/>
      <protection hidden="1"/>
    </xf>
    <xf numFmtId="1" fontId="31" fillId="0" borderId="0" xfId="0" applyNumberFormat="1" applyFont="1" applyBorder="1" applyProtection="1">
      <protection hidden="1"/>
    </xf>
    <xf numFmtId="14" fontId="63" fillId="0" borderId="0" xfId="0" applyNumberFormat="1" applyFont="1" applyBorder="1" applyAlignment="1" applyProtection="1">
      <alignment horizontal="center"/>
      <protection hidden="1"/>
    </xf>
    <xf numFmtId="0" fontId="66" fillId="0" borderId="0" xfId="0" applyFont="1" applyBorder="1" applyProtection="1">
      <protection hidden="1"/>
    </xf>
    <xf numFmtId="171" fontId="29" fillId="0" borderId="0" xfId="0" applyNumberFormat="1" applyFont="1" applyBorder="1" applyAlignment="1" applyProtection="1">
      <alignment horizontal="center"/>
      <protection hidden="1"/>
    </xf>
    <xf numFmtId="0" fontId="29" fillId="0" borderId="0" xfId="0" applyFont="1" applyBorder="1" applyAlignment="1" applyProtection="1">
      <alignment horizontal="left"/>
      <protection hidden="1"/>
    </xf>
    <xf numFmtId="173" fontId="29" fillId="0" borderId="0" xfId="0" applyNumberFormat="1" applyFont="1" applyBorder="1" applyAlignment="1" applyProtection="1">
      <alignment horizontal="center"/>
      <protection hidden="1"/>
    </xf>
    <xf numFmtId="0" fontId="37" fillId="0" borderId="0" xfId="0" applyFont="1" applyAlignment="1">
      <alignment horizontal="center"/>
    </xf>
    <xf numFmtId="14" fontId="29" fillId="0" borderId="0" xfId="0" applyNumberFormat="1" applyFont="1" applyFill="1" applyBorder="1" applyAlignment="1" applyProtection="1">
      <alignment horizontal="center"/>
      <protection hidden="1"/>
    </xf>
    <xf numFmtId="1" fontId="75" fillId="32" borderId="0" xfId="0" applyNumberFormat="1" applyFont="1" applyFill="1" applyBorder="1" applyAlignment="1" applyProtection="1">
      <alignment horizontal="center"/>
      <protection hidden="1"/>
    </xf>
    <xf numFmtId="1" fontId="61" fillId="32" borderId="0" xfId="0" applyNumberFormat="1" applyFont="1" applyFill="1" applyAlignment="1"/>
    <xf numFmtId="1" fontId="29" fillId="0" borderId="0" xfId="0" applyNumberFormat="1" applyFont="1" applyAlignment="1" applyProtection="1">
      <alignment horizontal="center"/>
      <protection hidden="1"/>
    </xf>
    <xf numFmtId="0" fontId="30" fillId="0" borderId="0" xfId="0" applyFont="1" applyAlignment="1" applyProtection="1">
      <alignment horizontal="center"/>
      <protection hidden="1"/>
    </xf>
    <xf numFmtId="171" fontId="27" fillId="0" borderId="0" xfId="0" applyNumberFormat="1" applyFont="1" applyAlignment="1" applyProtection="1">
      <alignment horizontal="center"/>
      <protection hidden="1"/>
    </xf>
    <xf numFmtId="171" fontId="62" fillId="0" borderId="0" xfId="0" applyNumberFormat="1" applyFont="1" applyAlignment="1" applyProtection="1">
      <alignment horizontal="center"/>
      <protection hidden="1"/>
    </xf>
    <xf numFmtId="0" fontId="59" fillId="0" borderId="0" xfId="0" applyFont="1" applyAlignment="1" applyProtection="1">
      <alignment horizontal="center"/>
      <protection hidden="1"/>
    </xf>
    <xf numFmtId="0" fontId="27" fillId="0" borderId="0" xfId="0" applyNumberFormat="1" applyFont="1" applyAlignment="1" applyProtection="1">
      <alignment horizontal="center"/>
      <protection hidden="1"/>
    </xf>
    <xf numFmtId="0" fontId="62" fillId="0" borderId="0" xfId="0" applyFont="1" applyAlignment="1" applyProtection="1">
      <alignment horizontal="center"/>
      <protection hidden="1"/>
    </xf>
    <xf numFmtId="0" fontId="29" fillId="0" borderId="0" xfId="0" applyFont="1" applyFill="1" applyBorder="1" applyAlignment="1" applyProtection="1">
      <alignment horizontal="left"/>
      <protection hidden="1"/>
    </xf>
    <xf numFmtId="0" fontId="0" fillId="0" borderId="0" xfId="0" applyAlignment="1" applyProtection="1">
      <protection hidden="1"/>
    </xf>
    <xf numFmtId="0" fontId="42" fillId="0" borderId="0" xfId="0" applyFont="1" applyAlignment="1" applyProtection="1">
      <alignment horizontal="center" wrapText="1"/>
      <protection hidden="1"/>
    </xf>
    <xf numFmtId="171" fontId="0" fillId="0" borderId="0" xfId="0" applyNumberForma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171" fontId="36" fillId="20" borderId="0" xfId="0" applyNumberFormat="1" applyFont="1" applyFill="1" applyAlignment="1" applyProtection="1">
      <alignment horizontal="center"/>
      <protection hidden="1"/>
    </xf>
    <xf numFmtId="171" fontId="43" fillId="20" borderId="0" xfId="0" applyNumberFormat="1" applyFont="1" applyFill="1" applyAlignment="1" applyProtection="1">
      <alignment horizontal="center"/>
      <protection hidden="1"/>
    </xf>
    <xf numFmtId="0" fontId="27" fillId="0" borderId="0" xfId="0" applyFont="1" applyAlignment="1" applyProtection="1">
      <alignment horizontal="center"/>
      <protection hidden="1"/>
    </xf>
    <xf numFmtId="172" fontId="29" fillId="0" borderId="0" xfId="0" applyNumberFormat="1" applyFont="1" applyBorder="1" applyAlignment="1" applyProtection="1">
      <alignment horizontal="center"/>
      <protection hidden="1"/>
    </xf>
    <xf numFmtId="171" fontId="62" fillId="0" borderId="0" xfId="0" applyNumberFormat="1" applyFont="1" applyBorder="1" applyAlignment="1" applyProtection="1">
      <alignment horizontal="center"/>
      <protection hidden="1"/>
    </xf>
    <xf numFmtId="0" fontId="62" fillId="0" borderId="0" xfId="0" applyFont="1" applyBorder="1" applyAlignment="1" applyProtection="1">
      <alignment horizontal="center"/>
      <protection hidden="1"/>
    </xf>
    <xf numFmtId="16" fontId="29" fillId="0" borderId="0" xfId="0" applyNumberFormat="1" applyFont="1" applyBorder="1" applyAlignment="1" applyProtection="1">
      <alignment horizontal="center"/>
      <protection hidden="1"/>
    </xf>
    <xf numFmtId="15" fontId="29" fillId="0" borderId="0" xfId="0" applyNumberFormat="1" applyFont="1" applyAlignment="1" applyProtection="1">
      <alignment horizontal="center"/>
      <protection hidden="1"/>
    </xf>
    <xf numFmtId="16" fontId="63" fillId="0" borderId="0" xfId="0" applyNumberFormat="1" applyFont="1" applyAlignment="1" applyProtection="1">
      <alignment horizontal="center"/>
      <protection hidden="1"/>
    </xf>
    <xf numFmtId="0" fontId="66" fillId="0" borderId="0" xfId="0" applyFont="1" applyAlignment="1">
      <alignment horizontal="center"/>
    </xf>
    <xf numFmtId="171" fontId="72" fillId="30" borderId="0" xfId="0" applyNumberFormat="1" applyFont="1" applyFill="1" applyAlignment="1" applyProtection="1">
      <alignment horizontal="center"/>
      <protection hidden="1"/>
    </xf>
    <xf numFmtId="0" fontId="72" fillId="30" borderId="0" xfId="0" applyFont="1" applyFill="1" applyAlignment="1" applyProtection="1">
      <alignment horizontal="center"/>
      <protection hidden="1"/>
    </xf>
    <xf numFmtId="171" fontId="90" fillId="46" borderId="0" xfId="0" applyNumberFormat="1" applyFont="1" applyFill="1" applyAlignment="1" applyProtection="1">
      <alignment horizontal="center"/>
      <protection hidden="1"/>
    </xf>
    <xf numFmtId="0" fontId="91" fillId="46" borderId="0" xfId="0" applyFont="1" applyFill="1" applyAlignment="1">
      <alignment horizontal="center"/>
    </xf>
    <xf numFmtId="0" fontId="29" fillId="0" borderId="0" xfId="0" applyFont="1" applyAlignment="1" applyProtection="1">
      <alignment horizontal="center"/>
      <protection hidden="1"/>
    </xf>
    <xf numFmtId="171" fontId="29" fillId="25" borderId="0" xfId="0" applyNumberFormat="1" applyFont="1" applyFill="1" applyAlignment="1" applyProtection="1">
      <alignment horizontal="center"/>
      <protection hidden="1"/>
    </xf>
    <xf numFmtId="171" fontId="0" fillId="25" borderId="0" xfId="0" applyNumberFormat="1" applyFill="1" applyAlignment="1">
      <alignment horizontal="center"/>
    </xf>
    <xf numFmtId="0" fontId="29" fillId="0" borderId="0" xfId="0" applyFont="1" applyAlignment="1" applyProtection="1">
      <alignment horizontal="left"/>
      <protection hidden="1"/>
    </xf>
    <xf numFmtId="1" fontId="32" fillId="0" borderId="0" xfId="0" applyNumberFormat="1" applyFont="1" applyBorder="1" applyAlignment="1" applyProtection="1">
      <alignment horizontal="center"/>
      <protection hidden="1"/>
    </xf>
    <xf numFmtId="1" fontId="6" fillId="0" borderId="0" xfId="0" applyNumberFormat="1" applyFont="1" applyBorder="1" applyAlignment="1" applyProtection="1">
      <alignment horizontal="right"/>
      <protection hidden="1"/>
    </xf>
    <xf numFmtId="0" fontId="6" fillId="0" borderId="0" xfId="0" applyFont="1" applyBorder="1" applyAlignment="1" applyProtection="1">
      <alignment horizontal="right"/>
      <protection hidden="1"/>
    </xf>
    <xf numFmtId="0" fontId="0" fillId="0" borderId="0" xfId="0" applyFill="1" applyBorder="1" applyAlignment="1" applyProtection="1">
      <alignment horizontal="center" wrapText="1"/>
      <protection hidden="1"/>
    </xf>
    <xf numFmtId="0" fontId="0" fillId="0" borderId="0" xfId="0" applyFill="1" applyBorder="1" applyAlignment="1" applyProtection="1">
      <alignment horizontal="left" wrapText="1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0" xfId="0" applyAlignment="1">
      <alignment horizontal="left"/>
    </xf>
    <xf numFmtId="0" fontId="13" fillId="0" borderId="0" xfId="0" applyFont="1" applyAlignment="1" applyProtection="1">
      <alignment horizontal="center" wrapText="1"/>
      <protection hidden="1"/>
    </xf>
    <xf numFmtId="0" fontId="86" fillId="30" borderId="33" xfId="0" applyFont="1" applyFill="1" applyBorder="1" applyAlignment="1" applyProtection="1">
      <protection hidden="1"/>
    </xf>
    <xf numFmtId="0" fontId="71" fillId="30" borderId="33" xfId="0" applyFont="1" applyFill="1" applyBorder="1" applyAlignment="1"/>
    <xf numFmtId="0" fontId="71" fillId="30" borderId="58" xfId="0" applyFont="1" applyFill="1" applyBorder="1" applyAlignment="1"/>
    <xf numFmtId="171" fontId="60" fillId="36" borderId="0" xfId="0" applyNumberFormat="1" applyFont="1" applyFill="1" applyAlignment="1" applyProtection="1">
      <alignment horizontal="center"/>
      <protection hidden="1"/>
    </xf>
    <xf numFmtId="171" fontId="60" fillId="36" borderId="0" xfId="0" applyNumberFormat="1" applyFont="1" applyFill="1" applyAlignment="1"/>
    <xf numFmtId="0" fontId="81" fillId="4" borderId="2" xfId="0" applyFont="1" applyFill="1" applyBorder="1" applyAlignment="1" applyProtection="1">
      <alignment horizontal="center"/>
      <protection hidden="1"/>
    </xf>
    <xf numFmtId="0" fontId="71" fillId="0" borderId="3" xfId="0" applyFont="1" applyBorder="1" applyAlignment="1" applyProtection="1">
      <alignment horizontal="center"/>
      <protection hidden="1"/>
    </xf>
    <xf numFmtId="0" fontId="71" fillId="0" borderId="4" xfId="0" applyFont="1" applyBorder="1" applyAlignment="1" applyProtection="1">
      <alignment horizontal="center"/>
      <protection hidden="1"/>
    </xf>
    <xf numFmtId="0" fontId="50" fillId="0" borderId="55" xfId="0" applyFont="1" applyBorder="1" applyAlignment="1" applyProtection="1">
      <alignment horizontal="center"/>
      <protection hidden="1"/>
    </xf>
    <xf numFmtId="0" fontId="50" fillId="0" borderId="56" xfId="0" applyFont="1" applyBorder="1" applyAlignment="1" applyProtection="1">
      <alignment horizontal="center"/>
      <protection hidden="1"/>
    </xf>
    <xf numFmtId="0" fontId="50" fillId="0" borderId="57" xfId="0" applyFont="1" applyBorder="1" applyAlignment="1" applyProtection="1">
      <alignment horizontal="center"/>
      <protection hidden="1"/>
    </xf>
    <xf numFmtId="0" fontId="3" fillId="0" borderId="7" xfId="0" applyFont="1" applyBorder="1" applyAlignment="1" applyProtection="1">
      <alignment horizontal="center"/>
      <protection hidden="1"/>
    </xf>
    <xf numFmtId="0" fontId="0" fillId="0" borderId="9" xfId="0" applyBorder="1" applyAlignment="1" applyProtection="1">
      <alignment horizontal="center"/>
      <protection hidden="1"/>
    </xf>
    <xf numFmtId="0" fontId="59" fillId="0" borderId="0" xfId="0" applyFont="1" applyBorder="1" applyProtection="1">
      <protection hidden="1"/>
    </xf>
    <xf numFmtId="0" fontId="39" fillId="0" borderId="0" xfId="0" applyFont="1" applyBorder="1" applyProtection="1">
      <protection hidden="1"/>
    </xf>
    <xf numFmtId="1" fontId="29" fillId="0" borderId="0" xfId="0" applyNumberFormat="1" applyFont="1" applyBorder="1" applyAlignment="1" applyProtection="1">
      <alignment horizontal="left"/>
      <protection hidden="1"/>
    </xf>
    <xf numFmtId="1" fontId="31" fillId="0" borderId="0" xfId="0" applyNumberFormat="1" applyFont="1" applyBorder="1" applyAlignment="1" applyProtection="1">
      <alignment horizontal="left"/>
      <protection hidden="1"/>
    </xf>
    <xf numFmtId="0" fontId="85" fillId="30" borderId="7" xfId="0" applyFont="1" applyFill="1" applyBorder="1" applyAlignment="1" applyProtection="1">
      <alignment horizontal="center"/>
      <protection hidden="1"/>
    </xf>
    <xf numFmtId="0" fontId="71" fillId="30" borderId="9" xfId="0" applyFont="1" applyFill="1" applyBorder="1" applyAlignment="1" applyProtection="1">
      <alignment horizontal="center"/>
      <protection hidden="1"/>
    </xf>
    <xf numFmtId="0" fontId="22" fillId="0" borderId="0" xfId="0" applyFont="1" applyAlignment="1" applyProtection="1">
      <alignment horizontal="center" wrapText="1"/>
      <protection hidden="1"/>
    </xf>
    <xf numFmtId="0" fontId="0" fillId="0" borderId="0" xfId="0" applyAlignment="1" applyProtection="1">
      <alignment wrapText="1"/>
      <protection hidden="1"/>
    </xf>
    <xf numFmtId="0" fontId="14" fillId="0" borderId="0" xfId="0" applyFont="1" applyAlignment="1" applyProtection="1">
      <alignment horizontal="right" wrapText="1"/>
      <protection hidden="1"/>
    </xf>
    <xf numFmtId="0" fontId="14" fillId="0" borderId="0" xfId="0" applyFont="1" applyAlignment="1" applyProtection="1">
      <alignment wrapText="1"/>
      <protection hidden="1"/>
    </xf>
    <xf numFmtId="0" fontId="82" fillId="44" borderId="64" xfId="0" applyFont="1" applyFill="1" applyBorder="1" applyAlignment="1">
      <alignment horizontal="center"/>
    </xf>
    <xf numFmtId="0" fontId="76" fillId="28" borderId="63" xfId="4" applyFont="1" applyFill="1" applyBorder="1" applyAlignment="1">
      <alignment horizontal="center" vertical="center" wrapText="1"/>
    </xf>
  </cellXfs>
  <cellStyles count="6">
    <cellStyle name="Euro" xfId="1"/>
    <cellStyle name="Millares" xfId="2" builtinId="3"/>
    <cellStyle name="Millares 2" xfId="5"/>
    <cellStyle name="Normal" xfId="0" builtinId="0"/>
    <cellStyle name="Normal 2" xfId="4"/>
    <cellStyle name="Normal 3" xfId="3"/>
  </cellStyles>
  <dxfs count="41">
    <dxf>
      <font>
        <color rgb="FFFFFF00"/>
      </font>
      <fill>
        <patternFill>
          <bgColor rgb="FFFF000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66CC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499984740745262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8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lor theme="0"/>
        <name val="Cambria"/>
        <scheme val="none"/>
      </font>
      <fill>
        <patternFill>
          <bgColor theme="1"/>
        </patternFill>
      </fill>
    </dxf>
    <dxf>
      <font>
        <color theme="0"/>
        <name val="Cambria"/>
        <scheme val="none"/>
      </font>
      <fill>
        <patternFill>
          <bgColor theme="1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rgb="FF00B05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32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B1:Q33"/>
  <sheetViews>
    <sheetView showGridLines="0" showRowColHeaders="0" showZeros="0" tabSelected="1" showOutlineSymbols="0" workbookViewId="0">
      <selection activeCell="C10" sqref="C10"/>
    </sheetView>
  </sheetViews>
  <sheetFormatPr baseColWidth="10" defaultColWidth="11.44140625" defaultRowHeight="13.8"/>
  <cols>
    <col min="1" max="1" width="7.88671875" style="1" customWidth="1"/>
    <col min="2" max="2" width="22.44140625" style="1" customWidth="1"/>
    <col min="3" max="3" width="12" style="1" customWidth="1"/>
    <col min="4" max="4" width="5.21875" style="1" customWidth="1"/>
    <col min="5" max="5" width="4.109375" style="1" customWidth="1"/>
    <col min="6" max="6" width="15.21875" style="1" customWidth="1"/>
    <col min="7" max="7" width="4.88671875" style="2" customWidth="1"/>
    <col min="8" max="8" width="10.6640625" style="1" customWidth="1"/>
    <col min="9" max="9" width="1.33203125" style="1" customWidth="1"/>
    <col min="10" max="10" width="4.21875" style="1" customWidth="1"/>
    <col min="11" max="11" width="9.6640625" style="1" customWidth="1"/>
    <col min="12" max="12" width="13.77734375" style="1" customWidth="1"/>
    <col min="13" max="13" width="8.6640625" style="1" customWidth="1"/>
    <col min="14" max="14" width="15.88671875" style="1" customWidth="1"/>
    <col min="15" max="15" width="19.77734375" style="1" customWidth="1"/>
    <col min="16" max="16" width="10.88671875" style="537" customWidth="1"/>
    <col min="17" max="16384" width="11.44140625" style="1"/>
  </cols>
  <sheetData>
    <row r="1" spans="2:17" ht="13.2" customHeight="1" thickBot="1"/>
    <row r="2" spans="2:17" ht="20.399999999999999" customHeight="1" thickBot="1">
      <c r="B2" s="612" t="s">
        <v>31</v>
      </c>
      <c r="C2" s="613"/>
      <c r="D2" s="613"/>
      <c r="E2" s="613"/>
      <c r="F2" s="613"/>
      <c r="G2" s="613"/>
      <c r="H2" s="614"/>
      <c r="K2" s="538" t="s">
        <v>769</v>
      </c>
      <c r="L2" s="538"/>
      <c r="M2" s="543" t="str">
        <f>luna!$B$60</f>
        <v xml:space="preserve">XI </v>
      </c>
      <c r="N2" s="538" t="s">
        <v>773</v>
      </c>
      <c r="O2" s="539"/>
      <c r="P2" s="543">
        <f>luna!$A$79</f>
        <v>1</v>
      </c>
      <c r="Q2" s="591"/>
    </row>
    <row r="3" spans="2:17" ht="20.399999999999999" customHeight="1">
      <c r="K3" s="538" t="str">
        <f>"EPACTA 31-12"</f>
        <v>EPACTA 31-12</v>
      </c>
      <c r="L3" s="538"/>
      <c r="M3" s="542">
        <f>luna!$A$69</f>
        <v>19</v>
      </c>
      <c r="N3" s="538" t="s">
        <v>430</v>
      </c>
      <c r="O3" s="539"/>
      <c r="P3" s="542">
        <f>luna!$A$92</f>
        <v>1</v>
      </c>
      <c r="Q3" s="591"/>
    </row>
    <row r="4" spans="2:17" ht="20.399999999999999" customHeight="1">
      <c r="C4" s="261" t="s">
        <v>407</v>
      </c>
      <c r="D4" s="260"/>
      <c r="E4" s="260"/>
      <c r="F4" s="260"/>
      <c r="K4" s="540" t="s">
        <v>445</v>
      </c>
      <c r="L4" s="539"/>
      <c r="M4" s="542" t="str">
        <f>luna!$A$74</f>
        <v>GF</v>
      </c>
      <c r="N4" s="538" t="s">
        <v>775</v>
      </c>
      <c r="O4" s="539"/>
      <c r="P4" s="542">
        <f>luna!$A$86</f>
        <v>11</v>
      </c>
      <c r="Q4" s="591"/>
    </row>
    <row r="5" spans="2:17" ht="20.399999999999999" customHeight="1">
      <c r="B5" s="590" t="s">
        <v>32</v>
      </c>
      <c r="C5" s="591"/>
      <c r="D5" s="591"/>
      <c r="E5" s="591"/>
      <c r="F5" s="591"/>
      <c r="G5" s="599"/>
      <c r="H5" s="591"/>
      <c r="K5" s="541" t="str">
        <f>IF(LEN(M4)=2,"AÑO BISIESTO", "AÑO NO BISIESTO")</f>
        <v>AÑO BISIESTO</v>
      </c>
      <c r="L5" s="538"/>
      <c r="M5" s="544">
        <f>IF(LEN(M4)=2,1, 0)</f>
        <v>1</v>
      </c>
      <c r="N5" s="538" t="s">
        <v>429</v>
      </c>
      <c r="O5" s="539"/>
      <c r="P5" s="542">
        <f>luna!$A$88</f>
        <v>8</v>
      </c>
      <c r="Q5" s="591"/>
    </row>
    <row r="6" spans="2:17" ht="20.399999999999999" customHeight="1">
      <c r="B6" s="590" t="s">
        <v>771</v>
      </c>
      <c r="C6" s="591"/>
      <c r="D6" s="591"/>
      <c r="E6" s="591"/>
      <c r="F6" s="591"/>
      <c r="G6" s="599"/>
      <c r="H6" s="591"/>
      <c r="K6" s="538" t="s">
        <v>770</v>
      </c>
      <c r="L6" s="539"/>
      <c r="M6" s="542" t="str">
        <f>calendario!$AD$7</f>
        <v>Lunes</v>
      </c>
      <c r="N6" s="538" t="s">
        <v>776</v>
      </c>
      <c r="O6" s="539"/>
      <c r="P6" s="543">
        <f>luna!$A$81</f>
        <v>2</v>
      </c>
      <c r="Q6" s="591"/>
    </row>
    <row r="7" spans="2:17" ht="20.399999999999999" customHeight="1">
      <c r="B7" s="590" t="s">
        <v>205</v>
      </c>
      <c r="C7" s="591"/>
      <c r="D7" s="591"/>
      <c r="E7" s="591"/>
      <c r="F7" s="591"/>
      <c r="G7" s="599"/>
      <c r="H7" s="591"/>
      <c r="K7" s="538" t="s">
        <v>774</v>
      </c>
      <c r="L7" s="539"/>
      <c r="M7" s="542">
        <f>luna!$A$77</f>
        <v>0</v>
      </c>
      <c r="N7" s="538" t="s">
        <v>273</v>
      </c>
      <c r="O7" s="539"/>
      <c r="P7" s="545">
        <f>luna!$A$96</f>
        <v>44997</v>
      </c>
      <c r="Q7" s="591"/>
    </row>
    <row r="8" spans="2:17" ht="19.2" customHeight="1" thickBot="1">
      <c r="B8" s="590" t="s">
        <v>772</v>
      </c>
      <c r="C8" s="591"/>
      <c r="D8" s="591"/>
      <c r="E8" s="591"/>
      <c r="F8" s="590"/>
      <c r="G8" s="599"/>
      <c r="H8" s="603"/>
    </row>
    <row r="9" spans="2:17" ht="19.2" customHeight="1" thickBot="1">
      <c r="B9" s="94"/>
      <c r="J9" s="37"/>
      <c r="K9" s="620" t="str">
        <f>IF(D10&lt;&gt;0,"DOMINGO PASCUA","")</f>
        <v>DOMINGO PASCUA</v>
      </c>
      <c r="L9" s="621"/>
      <c r="M9" s="621"/>
      <c r="N9" s="622"/>
      <c r="O9" s="590" t="str">
        <f>IF(C$10&lt;326,"LA ACTUAL FÓRMULA"," ")</f>
        <v xml:space="preserve"> </v>
      </c>
      <c r="P9" s="592"/>
      <c r="Q9" s="591"/>
    </row>
    <row r="10" spans="2:17" ht="19.2" customHeight="1" thickTop="1" thickBot="1">
      <c r="B10" s="4" t="s">
        <v>33</v>
      </c>
      <c r="C10" s="5">
        <v>2024</v>
      </c>
      <c r="D10" s="257">
        <v>1</v>
      </c>
      <c r="F10" s="615" t="str">
        <f>IF(D10=0,"AÑO INCORRECTO (&gt; 325 DJC)","LOS DATOS SON")</f>
        <v>LOS DATOS SON</v>
      </c>
      <c r="G10" s="616"/>
      <c r="H10" s="617"/>
      <c r="K10" s="536"/>
      <c r="L10" s="259">
        <f>Hoja4!$F$7</f>
        <v>22</v>
      </c>
      <c r="M10" s="531" t="str">
        <f>Hoja4!$G$7</f>
        <v>ABRIL</v>
      </c>
      <c r="N10" s="532"/>
      <c r="O10" s="590" t="str">
        <f>IF(C$10&lt;326,"PARA CALCULAR LA PASCUA"," ")</f>
        <v xml:space="preserve"> </v>
      </c>
      <c r="P10" s="592"/>
      <c r="Q10" s="591"/>
    </row>
    <row r="11" spans="2:17" ht="19.2" customHeight="1" thickBot="1">
      <c r="B11" s="205"/>
      <c r="K11" s="623" t="str">
        <f>IF(C10&lt;1583,formulas!$J$10,"CALENDARIO JULIANO EN DESUSO")</f>
        <v>CALENDARIO JULIANO EN DESUSO</v>
      </c>
      <c r="L11" s="624"/>
      <c r="M11" s="624"/>
      <c r="N11" s="625"/>
      <c r="O11" s="590" t="str">
        <f>IF(C$10&lt;326,"SE ORIGINÓ EN EL AÑO 325 DJC"," ")</f>
        <v xml:space="preserve"> </v>
      </c>
      <c r="P11" s="592"/>
      <c r="Q11" s="591"/>
    </row>
    <row r="12" spans="2:17" ht="19.2" customHeight="1" thickBot="1">
      <c r="O12" s="590" t="str">
        <f>IF(C$10&lt;326,"EN EL CONCILIO DE NICEA"," ")</f>
        <v xml:space="preserve"> </v>
      </c>
      <c r="P12" s="592"/>
      <c r="Q12" s="591"/>
    </row>
    <row r="13" spans="2:17" ht="19.2" customHeight="1">
      <c r="B13" s="618" t="str">
        <f>IF(D10&lt;&gt;0,"LUNA LLENA",F10)</f>
        <v>LUNA LLENA</v>
      </c>
      <c r="C13" s="619"/>
      <c r="E13" s="620" t="str">
        <f>IF(D10&lt;&gt;0,"DOMINGO PASCUA","")</f>
        <v>DOMINGO PASCUA</v>
      </c>
      <c r="F13" s="621"/>
      <c r="G13" s="621"/>
      <c r="H13" s="622"/>
      <c r="K13" s="620" t="str">
        <f>IF(D10&lt;&gt;0,"DOMINGO PASCUA","")</f>
        <v>DOMINGO PASCUA</v>
      </c>
      <c r="L13" s="621"/>
      <c r="M13" s="621"/>
      <c r="N13" s="622"/>
      <c r="O13" s="590" t="str">
        <f>IF(C$10&lt;326,"ANTES DE ESTE AÑO"," ")</f>
        <v xml:space="preserve"> </v>
      </c>
      <c r="P13" s="592"/>
      <c r="Q13" s="591"/>
    </row>
    <row r="14" spans="2:17" ht="19.2" customHeight="1">
      <c r="B14" s="19">
        <f>IF(D10&lt;&gt;0,formulas!$J$3," ")</f>
        <v>25</v>
      </c>
      <c r="C14" s="20" t="str">
        <f>IF(D10&lt;&gt;0,formulas!$K$3," ")</f>
        <v>MARZO</v>
      </c>
      <c r="E14" s="258"/>
      <c r="F14" s="259">
        <f>GAUSS!G13</f>
        <v>31</v>
      </c>
      <c r="G14" s="531" t="str">
        <f>GAUSS!H13</f>
        <v>MARZO</v>
      </c>
      <c r="H14" s="532"/>
      <c r="K14" s="258"/>
      <c r="L14" s="259">
        <f>Hoja4!$F$35</f>
        <v>5</v>
      </c>
      <c r="M14" s="531" t="str">
        <f>Hoja4!$G$35</f>
        <v>MAYO</v>
      </c>
      <c r="N14" s="532"/>
      <c r="O14" s="590" t="str">
        <f>IF(C$10&lt;326,"PODEMOS CALCULAR"," ")</f>
        <v xml:space="preserve"> </v>
      </c>
      <c r="P14" s="592"/>
      <c r="Q14" s="591"/>
    </row>
    <row r="15" spans="2:17" ht="18" thickBot="1">
      <c r="B15" s="626" t="str">
        <f>IF(D10&lt;&gt;0,formulas!$L$3," ")</f>
        <v>LUNES</v>
      </c>
      <c r="C15" s="625"/>
      <c r="E15" s="627" t="str">
        <f>formulas!$J$10</f>
        <v>CALENDARIO GREGORIANO</v>
      </c>
      <c r="F15" s="624"/>
      <c r="G15" s="624"/>
      <c r="H15" s="625"/>
      <c r="K15" s="627" t="str">
        <f>IF(C10&lt;1583,formulas!$J$10,"CALENDARIO ORTODOXO")</f>
        <v>CALENDARIO ORTODOXO</v>
      </c>
      <c r="L15" s="624"/>
      <c r="M15" s="624"/>
      <c r="N15" s="625"/>
      <c r="O15" s="590" t="str">
        <f>IF(C$10&lt;326,"TEÓRICAMENTE LA PASCUA"," ")</f>
        <v xml:space="preserve"> </v>
      </c>
      <c r="P15" s="592"/>
      <c r="Q15" s="591"/>
    </row>
    <row r="16" spans="2:17">
      <c r="H16" s="1" t="str">
        <f>IF(G16=5,"DIVENDRES"," ")</f>
        <v xml:space="preserve"> </v>
      </c>
      <c r="O16" s="628" t="str">
        <f>IF(C$10&lt;326,"PARA EL AÑO"," ")</f>
        <v xml:space="preserve"> </v>
      </c>
      <c r="P16" s="628"/>
      <c r="Q16" s="591"/>
    </row>
    <row r="17" spans="2:17" ht="22.2" customHeight="1" thickBot="1">
      <c r="B17" s="600" t="s">
        <v>35</v>
      </c>
      <c r="C17" s="591"/>
      <c r="D17" s="591"/>
      <c r="E17" s="591"/>
      <c r="F17" s="601">
        <f>C10</f>
        <v>2024</v>
      </c>
      <c r="G17" s="602">
        <f>IF($C$10&gt;1990,7,10)</f>
        <v>7</v>
      </c>
      <c r="H17" s="591"/>
      <c r="I17" s="591"/>
      <c r="K17" s="591"/>
      <c r="L17" s="591"/>
      <c r="M17" s="595"/>
      <c r="N17" s="595"/>
      <c r="O17" s="593" t="str">
        <f>IF(C10&lt;326,C10," ")</f>
        <v xml:space="preserve"> </v>
      </c>
      <c r="P17" s="592"/>
      <c r="Q17" s="591"/>
    </row>
    <row r="18" spans="2:17" ht="22.2" customHeight="1" thickTop="1" thickBot="1">
      <c r="B18" s="563" t="s">
        <v>777</v>
      </c>
      <c r="C18" s="564" t="s">
        <v>45</v>
      </c>
      <c r="D18" s="564"/>
      <c r="E18" s="564"/>
      <c r="F18" s="565">
        <f>F20-17</f>
        <v>45319</v>
      </c>
      <c r="G18" s="566" t="s">
        <v>778</v>
      </c>
      <c r="H18" s="567">
        <f>C10</f>
        <v>2024</v>
      </c>
      <c r="I18" s="568"/>
      <c r="K18" s="596" t="str">
        <f>luna!$A$72</f>
        <v>AÑO EMBOLISTICO</v>
      </c>
      <c r="L18" s="597"/>
      <c r="M18" s="590" t="str">
        <f>IF(K18="AÑO EMBOLISTICO","13  MESES CAL. HEBREO","")</f>
        <v>13  MESES CAL. HEBREO</v>
      </c>
      <c r="N18" s="591"/>
      <c r="O18" s="590" t="str">
        <f>IF(C$10&lt;326,"LA PASCUA TEÓRICA ES EL DIA"," ")</f>
        <v xml:space="preserve"> </v>
      </c>
      <c r="P18" s="592"/>
      <c r="Q18" s="591"/>
    </row>
    <row r="19" spans="2:17" ht="22.2" customHeight="1" thickBot="1">
      <c r="B19" s="569" t="s">
        <v>36</v>
      </c>
      <c r="C19" s="546" t="s">
        <v>37</v>
      </c>
      <c r="D19" s="546"/>
      <c r="E19" s="547"/>
      <c r="F19" s="547"/>
      <c r="G19" s="548"/>
      <c r="H19" s="546"/>
      <c r="I19" s="570"/>
      <c r="K19" s="591"/>
      <c r="L19" s="591"/>
      <c r="M19" s="591"/>
      <c r="N19" s="591"/>
      <c r="O19" s="594" t="str">
        <f>IF(C10&lt;326,LIVIUS!G23," ")</f>
        <v xml:space="preserve"> </v>
      </c>
      <c r="P19" s="594" t="str">
        <f>IF(C10&lt;326,LIVIUS!H23," ")</f>
        <v xml:space="preserve"> </v>
      </c>
      <c r="Q19" s="591"/>
    </row>
    <row r="20" spans="2:17" ht="22.2" customHeight="1">
      <c r="B20" s="571" t="s">
        <v>38</v>
      </c>
      <c r="C20" s="549" t="s">
        <v>39</v>
      </c>
      <c r="D20" s="549" t="s">
        <v>40</v>
      </c>
      <c r="E20" s="550"/>
      <c r="F20" s="551">
        <f>IF(D10&lt;&gt;0,calendario!$O$53,"")</f>
        <v>45336</v>
      </c>
      <c r="G20" s="552" t="str">
        <f t="shared" ref="G20:G32" si="0">IF($D$10&lt;&gt;0,"de"," ")</f>
        <v>de</v>
      </c>
      <c r="H20" s="553">
        <f t="shared" ref="H20:H32" si="1">IF($D$10&lt;&gt;0,$C$10," ")</f>
        <v>2024</v>
      </c>
      <c r="I20" s="572"/>
      <c r="K20" s="590" t="s">
        <v>782</v>
      </c>
      <c r="L20" s="591"/>
      <c r="M20" s="591"/>
      <c r="N20" s="591"/>
      <c r="O20" s="591"/>
      <c r="P20" s="592"/>
      <c r="Q20" s="591"/>
    </row>
    <row r="21" spans="2:17" ht="22.2" customHeight="1">
      <c r="B21" s="573" t="s">
        <v>41</v>
      </c>
      <c r="C21" s="182" t="s">
        <v>42</v>
      </c>
      <c r="D21" s="183"/>
      <c r="E21" s="183"/>
      <c r="F21" s="184">
        <f>IF(D10&lt;&gt;0,F24-7," ")</f>
        <v>45375</v>
      </c>
      <c r="G21" s="185" t="str">
        <f t="shared" si="0"/>
        <v>de</v>
      </c>
      <c r="H21" s="186">
        <f t="shared" si="1"/>
        <v>2024</v>
      </c>
      <c r="I21" s="574"/>
      <c r="K21" s="590" t="s">
        <v>783</v>
      </c>
      <c r="L21" s="591"/>
      <c r="M21" s="591"/>
      <c r="N21" s="591"/>
      <c r="O21" s="591"/>
      <c r="P21" s="592"/>
      <c r="Q21" s="591"/>
    </row>
    <row r="22" spans="2:17" ht="22.2" customHeight="1">
      <c r="B22" s="575"/>
      <c r="C22" s="182" t="s">
        <v>43</v>
      </c>
      <c r="D22" s="183"/>
      <c r="E22" s="183"/>
      <c r="F22" s="184">
        <f>IF(D10&lt;&gt;0,F24-3," ")</f>
        <v>45379</v>
      </c>
      <c r="G22" s="185" t="str">
        <f t="shared" si="0"/>
        <v>de</v>
      </c>
      <c r="H22" s="186">
        <f t="shared" si="1"/>
        <v>2024</v>
      </c>
      <c r="I22" s="574"/>
      <c r="K22" s="590" t="s">
        <v>790</v>
      </c>
      <c r="L22" s="591"/>
      <c r="M22" s="591"/>
      <c r="N22" s="591"/>
      <c r="O22" s="591"/>
      <c r="P22" s="592"/>
      <c r="Q22" s="591"/>
    </row>
    <row r="23" spans="2:17" ht="22.2" customHeight="1" thickBot="1">
      <c r="B23" s="576"/>
      <c r="C23" s="190" t="s">
        <v>44</v>
      </c>
      <c r="D23" s="191"/>
      <c r="E23" s="191"/>
      <c r="F23" s="192">
        <f>IF(D10&lt;&gt;0,F24-2," ")</f>
        <v>45380</v>
      </c>
      <c r="G23" s="193" t="str">
        <f t="shared" si="0"/>
        <v>de</v>
      </c>
      <c r="H23" s="194">
        <f t="shared" si="1"/>
        <v>2024</v>
      </c>
      <c r="I23" s="577"/>
      <c r="J23" s="7"/>
      <c r="K23" s="590" t="s">
        <v>784</v>
      </c>
      <c r="L23" s="591"/>
      <c r="M23" s="591"/>
      <c r="N23" s="591"/>
      <c r="O23" s="591"/>
      <c r="P23" s="592"/>
      <c r="Q23" s="591"/>
    </row>
    <row r="24" spans="2:17" ht="22.2" customHeight="1" thickBot="1">
      <c r="B24" s="578" t="s">
        <v>34</v>
      </c>
      <c r="C24" s="262" t="s">
        <v>45</v>
      </c>
      <c r="D24" s="263"/>
      <c r="E24" s="264"/>
      <c r="F24" s="265">
        <f>GAUSS!$F$38</f>
        <v>45382</v>
      </c>
      <c r="G24" s="266" t="str">
        <f t="shared" si="0"/>
        <v>de</v>
      </c>
      <c r="H24" s="267">
        <f t="shared" si="1"/>
        <v>2024</v>
      </c>
      <c r="I24" s="579"/>
      <c r="J24" s="7"/>
      <c r="K24" s="590" t="s">
        <v>785</v>
      </c>
      <c r="L24" s="591"/>
      <c r="M24" s="591"/>
      <c r="N24" s="591"/>
      <c r="O24" s="591"/>
      <c r="P24" s="592"/>
      <c r="Q24" s="591"/>
    </row>
    <row r="25" spans="2:17" ht="22.2" customHeight="1">
      <c r="B25" s="580" t="s">
        <v>34</v>
      </c>
      <c r="C25" s="268" t="s">
        <v>46</v>
      </c>
      <c r="D25" s="269"/>
      <c r="E25" s="269"/>
      <c r="F25" s="270">
        <f>IF(D10&lt;&gt;0,F24+1," ")</f>
        <v>45383</v>
      </c>
      <c r="G25" s="271" t="str">
        <f t="shared" si="0"/>
        <v>de</v>
      </c>
      <c r="H25" s="272">
        <f t="shared" si="1"/>
        <v>2024</v>
      </c>
      <c r="I25" s="581"/>
      <c r="J25" s="7"/>
      <c r="K25" s="590" t="s">
        <v>786</v>
      </c>
      <c r="L25" s="591"/>
      <c r="M25" s="591"/>
      <c r="N25" s="591"/>
      <c r="O25" s="591"/>
      <c r="P25" s="592"/>
      <c r="Q25" s="591"/>
    </row>
    <row r="26" spans="2:17" ht="22.2" customHeight="1">
      <c r="B26" s="583" t="s">
        <v>780</v>
      </c>
      <c r="C26" s="584" t="s">
        <v>46</v>
      </c>
      <c r="D26" s="584"/>
      <c r="E26" s="584"/>
      <c r="F26" s="585">
        <f>F25+7</f>
        <v>45390</v>
      </c>
      <c r="G26" s="586" t="str">
        <f>G25</f>
        <v>de</v>
      </c>
      <c r="H26" s="587">
        <f>H25</f>
        <v>2024</v>
      </c>
      <c r="I26" s="589"/>
      <c r="J26" s="7"/>
      <c r="K26" s="590" t="s">
        <v>787</v>
      </c>
      <c r="L26" s="591"/>
      <c r="M26" s="591"/>
      <c r="N26" s="591"/>
      <c r="O26" s="591"/>
      <c r="P26" s="592"/>
      <c r="Q26" s="591"/>
    </row>
    <row r="27" spans="2:17" ht="22.2" customHeight="1">
      <c r="B27" s="561" t="s">
        <v>272</v>
      </c>
      <c r="C27" s="273" t="str">
        <f>IF($F$17=10,"JUEVES","DOMINGO")</f>
        <v>DOMINGO</v>
      </c>
      <c r="D27" s="273"/>
      <c r="E27" s="273"/>
      <c r="F27" s="274">
        <f>IF(D10=0,"",F28-G17)</f>
        <v>45424</v>
      </c>
      <c r="G27" s="275" t="str">
        <f t="shared" si="0"/>
        <v>de</v>
      </c>
      <c r="H27" s="276">
        <f t="shared" si="1"/>
        <v>2024</v>
      </c>
      <c r="I27" s="562"/>
      <c r="J27" s="7"/>
      <c r="K27" s="590" t="s">
        <v>788</v>
      </c>
      <c r="L27" s="591"/>
      <c r="M27" s="591"/>
      <c r="N27" s="591"/>
      <c r="O27" s="591"/>
      <c r="P27" s="592"/>
      <c r="Q27" s="591"/>
    </row>
    <row r="28" spans="2:17" ht="22.2" customHeight="1">
      <c r="B28" s="561" t="s">
        <v>206</v>
      </c>
      <c r="C28" s="273" t="s">
        <v>45</v>
      </c>
      <c r="D28" s="277"/>
      <c r="E28" s="277"/>
      <c r="F28" s="274">
        <f>IF(D10&lt;&gt;0,F24+49," ")</f>
        <v>45431</v>
      </c>
      <c r="G28" s="275" t="str">
        <f t="shared" si="0"/>
        <v>de</v>
      </c>
      <c r="H28" s="276">
        <f t="shared" si="1"/>
        <v>2024</v>
      </c>
      <c r="I28" s="562"/>
      <c r="J28" s="7"/>
      <c r="K28" s="590" t="s">
        <v>789</v>
      </c>
      <c r="L28" s="591"/>
      <c r="M28" s="591"/>
      <c r="N28" s="591"/>
      <c r="O28" s="591"/>
      <c r="P28" s="592"/>
      <c r="Q28" s="591"/>
    </row>
    <row r="29" spans="2:17" ht="22.2" customHeight="1">
      <c r="B29" s="583" t="s">
        <v>781</v>
      </c>
      <c r="C29" s="584" t="s">
        <v>45</v>
      </c>
      <c r="D29" s="584"/>
      <c r="E29" s="584"/>
      <c r="F29" s="585">
        <f>F28+7</f>
        <v>45438</v>
      </c>
      <c r="G29" s="586" t="str">
        <f>G28</f>
        <v>de</v>
      </c>
      <c r="H29" s="587">
        <f>H28</f>
        <v>2024</v>
      </c>
      <c r="I29" s="589"/>
      <c r="K29" s="590" t="s">
        <v>791</v>
      </c>
      <c r="L29" s="591"/>
      <c r="M29" s="591"/>
      <c r="N29" s="591"/>
      <c r="O29" s="591"/>
      <c r="P29" s="592"/>
      <c r="Q29" s="591"/>
    </row>
    <row r="30" spans="2:17" ht="21.6" customHeight="1">
      <c r="B30" s="561" t="s">
        <v>47</v>
      </c>
      <c r="C30" s="273" t="str">
        <f>IF($F$17=10,"JUEVES","DOMINGO")</f>
        <v>DOMINGO</v>
      </c>
      <c r="D30" s="277"/>
      <c r="E30" s="277"/>
      <c r="F30" s="274">
        <f>IF(D10&lt;&gt;0,F27+21," ")</f>
        <v>45445</v>
      </c>
      <c r="G30" s="275" t="str">
        <f t="shared" si="0"/>
        <v>de</v>
      </c>
      <c r="H30" s="276">
        <f t="shared" si="1"/>
        <v>2024</v>
      </c>
      <c r="I30" s="562"/>
      <c r="K30" s="590" t="s">
        <v>794</v>
      </c>
      <c r="L30" s="591"/>
      <c r="M30" s="591"/>
      <c r="N30" s="591"/>
      <c r="O30" s="591"/>
      <c r="P30" s="592"/>
      <c r="Q30" s="591"/>
    </row>
    <row r="31" spans="2:17" ht="19.8" customHeight="1">
      <c r="B31" s="583" t="s">
        <v>48</v>
      </c>
      <c r="C31" s="584" t="s">
        <v>45</v>
      </c>
      <c r="D31" s="584"/>
      <c r="E31" s="584"/>
      <c r="F31" s="585">
        <f>F30+7</f>
        <v>45452</v>
      </c>
      <c r="G31" s="586" t="s">
        <v>778</v>
      </c>
      <c r="H31" s="587">
        <f>F17</f>
        <v>2024</v>
      </c>
      <c r="I31" s="582"/>
      <c r="K31" s="590" t="s">
        <v>792</v>
      </c>
      <c r="L31" s="591"/>
      <c r="M31" s="591"/>
      <c r="N31" s="591"/>
      <c r="O31" s="591"/>
      <c r="P31" s="592"/>
      <c r="Q31" s="591"/>
    </row>
    <row r="32" spans="2:17" ht="20.399999999999999" customHeight="1" thickBot="1">
      <c r="B32" s="554" t="s">
        <v>779</v>
      </c>
      <c r="C32" s="555" t="s">
        <v>45</v>
      </c>
      <c r="D32" s="556"/>
      <c r="E32" s="556"/>
      <c r="F32" s="557" t="str">
        <f>calendario!$BL$87</f>
        <v>1-des</v>
      </c>
      <c r="G32" s="558" t="str">
        <f t="shared" si="0"/>
        <v>de</v>
      </c>
      <c r="H32" s="559">
        <f t="shared" si="1"/>
        <v>2024</v>
      </c>
      <c r="I32" s="560"/>
      <c r="K32" s="590" t="s">
        <v>793</v>
      </c>
      <c r="L32" s="591"/>
      <c r="M32" s="591"/>
      <c r="N32" s="591"/>
      <c r="O32" s="591"/>
      <c r="P32" s="592"/>
      <c r="Q32" s="591"/>
    </row>
    <row r="33" spans="2:17" ht="14.4" thickTop="1">
      <c r="B33" s="591" t="s">
        <v>49</v>
      </c>
      <c r="C33" s="591"/>
      <c r="D33" s="591"/>
      <c r="E33" s="591"/>
      <c r="F33" s="591"/>
      <c r="G33" s="599"/>
      <c r="H33" s="591"/>
      <c r="I33" s="591"/>
      <c r="J33" s="591"/>
      <c r="K33" s="590" t="s">
        <v>795</v>
      </c>
      <c r="L33" s="591"/>
      <c r="M33" s="591"/>
      <c r="N33" s="591"/>
      <c r="O33" s="591"/>
      <c r="P33" s="592"/>
      <c r="Q33" s="591"/>
    </row>
  </sheetData>
  <customSheetViews>
    <customSheetView guid="{18C1BFE2-8FEC-454E-854E-6DC32F1C628B}" showRuler="0">
      <selection activeCell="C11" sqref="C11"/>
      <pageMargins left="0.75" right="0.75" top="1" bottom="1" header="0" footer="0"/>
      <pageSetup paperSize="9" orientation="portrait" horizontalDpi="4294967293" verticalDpi="0" r:id="rId1"/>
      <headerFooter alignWithMargins="0"/>
    </customSheetView>
  </customSheetViews>
  <mergeCells count="11">
    <mergeCell ref="B15:C15"/>
    <mergeCell ref="E15:H15"/>
    <mergeCell ref="K15:N15"/>
    <mergeCell ref="O16:P16"/>
    <mergeCell ref="K13:N13"/>
    <mergeCell ref="B2:H2"/>
    <mergeCell ref="F10:H10"/>
    <mergeCell ref="B13:C13"/>
    <mergeCell ref="E13:H13"/>
    <mergeCell ref="K9:N9"/>
    <mergeCell ref="K11:N11"/>
  </mergeCells>
  <phoneticPr fontId="0" type="noConversion"/>
  <dataValidations count="1">
    <dataValidation type="whole" allowBlank="1" showInputMessage="1" showErrorMessage="1" sqref="C10">
      <formula1>0</formula1>
      <formula2>9999</formula2>
    </dataValidation>
  </dataValidations>
  <pageMargins left="0.75" right="0.75" top="1" bottom="1" header="0" footer="0"/>
  <pageSetup paperSize="9" orientation="portrait" horizontalDpi="4294967293" r:id="rId2"/>
  <headerFooter alignWithMargins="0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6"/>
  <dimension ref="A1:I14"/>
  <sheetViews>
    <sheetView showGridLines="0" showRowColHeaders="0" workbookViewId="0">
      <selection activeCell="W3" sqref="W3"/>
    </sheetView>
  </sheetViews>
  <sheetFormatPr baseColWidth="10" defaultColWidth="11.33203125" defaultRowHeight="13.2"/>
  <cols>
    <col min="1" max="3" width="11.33203125" style="1" customWidth="1"/>
    <col min="4" max="4" width="11.33203125" style="2" customWidth="1"/>
    <col min="5" max="5" width="38.109375" style="1" customWidth="1"/>
    <col min="6" max="8" width="11.33203125" style="1" customWidth="1"/>
    <col min="9" max="9" width="18" style="1" customWidth="1"/>
    <col min="10" max="16384" width="11.33203125" style="1"/>
  </cols>
  <sheetData>
    <row r="1" spans="1:9" ht="33" customHeight="1">
      <c r="A1" s="95">
        <f>Principal!$C$10</f>
        <v>2024</v>
      </c>
      <c r="B1" s="751" t="s">
        <v>171</v>
      </c>
      <c r="C1" s="751"/>
      <c r="D1" s="751"/>
      <c r="E1" s="751" t="s">
        <v>172</v>
      </c>
      <c r="F1" s="751"/>
    </row>
    <row r="2" spans="1:9" ht="12.75" customHeight="1">
      <c r="A2" s="1">
        <f>IF(AND(A1&gt;0,A1&lt;1583),1,2)</f>
        <v>2</v>
      </c>
      <c r="B2" s="84"/>
      <c r="C2" s="731" t="s">
        <v>159</v>
      </c>
      <c r="D2" s="731"/>
      <c r="E2" s="80"/>
      <c r="F2" s="2">
        <f>MOD(A1,19)</f>
        <v>10</v>
      </c>
    </row>
    <row r="3" spans="1:9" ht="26.4">
      <c r="B3" s="85" t="s">
        <v>173</v>
      </c>
      <c r="C3" s="2">
        <f>MOD(A1,7)</f>
        <v>1</v>
      </c>
      <c r="E3" s="85" t="s">
        <v>174</v>
      </c>
      <c r="F3" s="2">
        <f>INT(A1/100)</f>
        <v>20</v>
      </c>
    </row>
    <row r="4" spans="1:9" ht="26.4">
      <c r="B4" s="85" t="s">
        <v>175</v>
      </c>
      <c r="C4" s="2">
        <f>MOD(A1,4)</f>
        <v>0</v>
      </c>
      <c r="E4" s="85" t="s">
        <v>176</v>
      </c>
      <c r="F4" s="2">
        <f>MOD(A1,100)</f>
        <v>24</v>
      </c>
    </row>
    <row r="5" spans="1:9" ht="40.200000000000003" thickBot="1">
      <c r="B5" s="85" t="s">
        <v>177</v>
      </c>
      <c r="C5" s="2">
        <f>MOD((19*F2+15),30)</f>
        <v>25</v>
      </c>
      <c r="E5" s="85" t="s">
        <v>178</v>
      </c>
      <c r="F5" s="2">
        <f>INT(F3/4)</f>
        <v>5</v>
      </c>
    </row>
    <row r="6" spans="1:9" ht="48.75" customHeight="1">
      <c r="B6" s="85" t="s">
        <v>179</v>
      </c>
      <c r="C6" s="2">
        <f>MOD((2*C4+4*C3-C5+34),7)</f>
        <v>6</v>
      </c>
      <c r="E6" s="85" t="s">
        <v>180</v>
      </c>
      <c r="F6" s="2">
        <f>MOD(F3,4)</f>
        <v>0</v>
      </c>
      <c r="H6" s="494" t="s">
        <v>34</v>
      </c>
      <c r="I6" s="495"/>
    </row>
    <row r="7" spans="1:9" ht="34.5" customHeight="1" thickBot="1">
      <c r="B7" s="97" t="s">
        <v>181</v>
      </c>
      <c r="C7" s="2">
        <f>22+C5+C6</f>
        <v>53</v>
      </c>
      <c r="D7" s="83">
        <f>IF(C7&gt;31,C7-31,C7)</f>
        <v>22</v>
      </c>
      <c r="E7" s="85" t="s">
        <v>182</v>
      </c>
      <c r="F7" s="2">
        <f>INT((F3+8)/25)</f>
        <v>1</v>
      </c>
      <c r="G7" s="1">
        <f>IF(A2=1,C7,F14)</f>
        <v>31</v>
      </c>
      <c r="H7" s="488">
        <f>IF(G7&gt;31,G7-31,G7)</f>
        <v>31</v>
      </c>
      <c r="I7" s="496" t="str">
        <f>IF(G7&gt;31,"ABRIL","MARZO")</f>
        <v>MARZO</v>
      </c>
    </row>
    <row r="8" spans="1:9">
      <c r="B8" s="754"/>
      <c r="C8" s="754"/>
      <c r="D8" s="754"/>
      <c r="E8" s="85" t="s">
        <v>183</v>
      </c>
      <c r="F8" s="2">
        <f>INT((F3-F7+1)/3)</f>
        <v>6</v>
      </c>
    </row>
    <row r="9" spans="1:9">
      <c r="B9" s="754"/>
      <c r="C9" s="754"/>
      <c r="D9" s="754"/>
      <c r="E9" s="85" t="s">
        <v>184</v>
      </c>
      <c r="F9" s="2">
        <f>MOD((19*F2+F3-F5-F8+15),30)</f>
        <v>4</v>
      </c>
    </row>
    <row r="10" spans="1:9">
      <c r="B10" s="752"/>
      <c r="C10" s="752"/>
      <c r="D10" s="752"/>
      <c r="E10" s="85" t="s">
        <v>185</v>
      </c>
      <c r="F10" s="2">
        <f>INT(F4/4)</f>
        <v>6</v>
      </c>
    </row>
    <row r="11" spans="1:9">
      <c r="B11" s="752"/>
      <c r="C11" s="752"/>
      <c r="D11" s="752"/>
      <c r="E11" s="85" t="s">
        <v>186</v>
      </c>
      <c r="F11" s="2">
        <f>MOD(F4,4)</f>
        <v>0</v>
      </c>
    </row>
    <row r="12" spans="1:9">
      <c r="B12" s="752"/>
      <c r="C12" s="752"/>
      <c r="D12" s="752"/>
      <c r="E12" s="85" t="s">
        <v>187</v>
      </c>
      <c r="F12" s="2">
        <f>MOD((32+2*F6+2*F10-F9-F11),7)</f>
        <v>5</v>
      </c>
    </row>
    <row r="13" spans="1:9">
      <c r="B13" s="752"/>
      <c r="C13" s="752"/>
      <c r="D13" s="752"/>
      <c r="E13" s="85" t="s">
        <v>188</v>
      </c>
      <c r="F13" s="2">
        <f>INT((F2+11*F9+22*F12)/451)</f>
        <v>0</v>
      </c>
    </row>
    <row r="14" spans="1:9" ht="15">
      <c r="B14" s="752"/>
      <c r="C14" s="752"/>
      <c r="D14" s="752"/>
      <c r="E14" s="85" t="s">
        <v>189</v>
      </c>
      <c r="F14" s="2">
        <f>22+F9+F12-7*F13</f>
        <v>31</v>
      </c>
      <c r="G14" s="98">
        <f>IF(F14&gt;31,F14-31,F14)</f>
        <v>31</v>
      </c>
      <c r="H14" s="98"/>
    </row>
  </sheetData>
  <sheetProtection password="888B" sheet="1" objects="1" scenarios="1"/>
  <mergeCells count="10">
    <mergeCell ref="C2:D2"/>
    <mergeCell ref="B1:D1"/>
    <mergeCell ref="E1:F1"/>
    <mergeCell ref="B8:D8"/>
    <mergeCell ref="B13:D13"/>
    <mergeCell ref="B14:D14"/>
    <mergeCell ref="B9:D9"/>
    <mergeCell ref="B10:D10"/>
    <mergeCell ref="B11:D11"/>
    <mergeCell ref="B12:D12"/>
  </mergeCells>
  <phoneticPr fontId="0" type="noConversion"/>
  <pageMargins left="0.75" right="0.75" top="1" bottom="1" header="0" footer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10"/>
  <dimension ref="A1:AA46"/>
  <sheetViews>
    <sheetView showGridLines="0" showRowColHeaders="0" zoomScale="85" zoomScaleNormal="85" workbookViewId="0">
      <selection activeCell="W3" sqref="W3"/>
    </sheetView>
  </sheetViews>
  <sheetFormatPr baseColWidth="10" defaultColWidth="12.33203125" defaultRowHeight="13.2"/>
  <cols>
    <col min="13" max="13" width="18.21875" customWidth="1"/>
    <col min="17" max="17" width="16.6640625" customWidth="1"/>
    <col min="18" max="18" width="13.5546875" customWidth="1"/>
  </cols>
  <sheetData>
    <row r="1" spans="1:23">
      <c r="A1" s="241">
        <f>Principal!$C$10</f>
        <v>2024</v>
      </c>
      <c r="B1" s="231" t="s">
        <v>327</v>
      </c>
      <c r="H1" s="241">
        <f>A1</f>
        <v>2024</v>
      </c>
      <c r="I1" s="241" t="str">
        <f>ROMAN(H1)</f>
        <v>MMXXIV</v>
      </c>
      <c r="J1" s="240" t="str">
        <f>Principal!$O$19</f>
        <v xml:space="preserve"> </v>
      </c>
      <c r="K1" s="240" t="str">
        <f>Principal!$P$19</f>
        <v xml:space="preserve"> </v>
      </c>
      <c r="N1">
        <f>IF(L4=1,1,N2)</f>
        <v>1</v>
      </c>
      <c r="P1">
        <f>IF(AND(A1&lt;1582,MOD(A1,100)=0),1,0)</f>
        <v>0</v>
      </c>
      <c r="Q1">
        <f>A1</f>
        <v>2024</v>
      </c>
      <c r="R1" s="231" t="s">
        <v>384</v>
      </c>
      <c r="S1" s="231" t="s">
        <v>385</v>
      </c>
    </row>
    <row r="2" spans="1:23">
      <c r="A2" s="231" t="s">
        <v>0</v>
      </c>
      <c r="B2">
        <f>MOD($A$1,19)</f>
        <v>10</v>
      </c>
      <c r="C2" t="s">
        <v>86</v>
      </c>
      <c r="J2" s="231" t="s">
        <v>74</v>
      </c>
      <c r="K2">
        <f>MOD(A1,19)</f>
        <v>10</v>
      </c>
      <c r="M2" s="231" t="s">
        <v>362</v>
      </c>
      <c r="N2">
        <f>IF(OR(AND(M3=1,M4=1),AND(M3=1,M5=1)),1,0)</f>
        <v>1</v>
      </c>
      <c r="O2" t="str">
        <f>IF(N1=1,"Es un año bisiesto","No es un año bisiesto")</f>
        <v>Es un año bisiesto</v>
      </c>
      <c r="Q2" t="str">
        <f>IF(A1&lt;1583,Q3,S2)</f>
        <v>AÑO BISIESTO</v>
      </c>
      <c r="R2" s="243" t="str">
        <f>IF(AND(A1&lt;1583,MOD(A1,4)=0),R21,R22)</f>
        <v/>
      </c>
      <c r="S2" s="231" t="str">
        <f>IF(A1&gt;1582,U26,R2)</f>
        <v>AÑO BISIESTO</v>
      </c>
      <c r="U2" t="str">
        <f>IF(OR(MOD($A$1,400)=0,AND(MOD($A$1,4)=0,MOD($A$1,100&lt;&gt;0))),"AÑO BISIESTO","AÑO NO BISIESTO")</f>
        <v>AÑO NO BISIESTO</v>
      </c>
      <c r="W2" s="250" t="s">
        <v>388</v>
      </c>
    </row>
    <row r="3" spans="1:23">
      <c r="A3" s="231" t="s">
        <v>1</v>
      </c>
      <c r="B3">
        <f>MOD((19*B2+15),30)</f>
        <v>25</v>
      </c>
      <c r="C3" s="216" t="s">
        <v>102</v>
      </c>
      <c r="J3" s="231" t="s">
        <v>75</v>
      </c>
      <c r="K3">
        <f>INT(A1/100)</f>
        <v>20</v>
      </c>
      <c r="M3">
        <f>IF(MOD(A1,4)=0,1,2)</f>
        <v>1</v>
      </c>
      <c r="O3" s="242">
        <f>IF(A1&lt;1583,INT(A1/100)-INT(A1/400),9)</f>
        <v>9</v>
      </c>
      <c r="P3" s="243"/>
      <c r="Q3" s="243" t="str">
        <f>IF(AND(A1&lt;1582,MOD(A1,4)=0),R21,R22)</f>
        <v/>
      </c>
      <c r="S3" s="231"/>
      <c r="W3" s="250" t="s">
        <v>389</v>
      </c>
    </row>
    <row r="4" spans="1:23">
      <c r="B4">
        <f>$A$1+INT($A$1/4)+B3</f>
        <v>2555</v>
      </c>
      <c r="J4" s="231" t="s">
        <v>5</v>
      </c>
      <c r="K4">
        <f>MOD(A1,100)</f>
        <v>24</v>
      </c>
      <c r="L4">
        <f>IF(AND(A1&lt;1582,MOD(A1,100)=0),1,2)</f>
        <v>2</v>
      </c>
      <c r="M4">
        <f>IF(AND(M3=1,L4=2,MOD(A1,100)&lt;&gt;0),1,2)</f>
        <v>1</v>
      </c>
      <c r="N4" s="215">
        <f>MOD(O4,7)+1</f>
        <v>3</v>
      </c>
      <c r="O4" s="244">
        <f>(A1-1)*365+INT((A1-1)/4)-INT((A1-1)/100)+INT((A1-1)/400)+O3-P1</f>
        <v>738894</v>
      </c>
      <c r="P4" s="215">
        <f>MOD((MOD(N4,7)+5),7)</f>
        <v>1</v>
      </c>
      <c r="Q4" t="str">
        <f>VLOOKUP(P4,N17:O24,2,)</f>
        <v>Lunes</v>
      </c>
      <c r="S4" s="231"/>
      <c r="W4" s="231" t="s">
        <v>390</v>
      </c>
    </row>
    <row r="5" spans="1:23">
      <c r="A5" s="231" t="s">
        <v>3</v>
      </c>
      <c r="B5">
        <f>MOD(B4,7)</f>
        <v>0</v>
      </c>
      <c r="C5" s="231" t="s">
        <v>328</v>
      </c>
      <c r="J5" s="231" t="s">
        <v>76</v>
      </c>
      <c r="K5">
        <f>INT(K3/4)</f>
        <v>5</v>
      </c>
      <c r="M5">
        <f>IF(MOD(A1,400)=0,1,2)</f>
        <v>2</v>
      </c>
      <c r="O5" s="231" t="s">
        <v>371</v>
      </c>
      <c r="P5" s="231"/>
      <c r="S5" s="231"/>
    </row>
    <row r="6" spans="1:23">
      <c r="A6" s="231" t="s">
        <v>4</v>
      </c>
      <c r="B6">
        <f>B3-B5+28</f>
        <v>53</v>
      </c>
      <c r="C6" t="s">
        <v>97</v>
      </c>
      <c r="F6" s="230" t="s">
        <v>383</v>
      </c>
      <c r="J6" s="231" t="s">
        <v>52</v>
      </c>
      <c r="K6">
        <f>MOD(K3,4)</f>
        <v>0</v>
      </c>
      <c r="P6" s="231"/>
      <c r="S6" s="231"/>
    </row>
    <row r="7" spans="1:23">
      <c r="A7" s="231" t="s">
        <v>329</v>
      </c>
      <c r="B7">
        <f>B6</f>
        <v>53</v>
      </c>
      <c r="C7" t="s">
        <v>373</v>
      </c>
      <c r="F7" s="238">
        <f>B9</f>
        <v>22</v>
      </c>
      <c r="G7" s="238" t="str">
        <f>VLOOKUP(B10,A41:B46,2,)</f>
        <v>ABRIL</v>
      </c>
      <c r="H7" s="247">
        <f>CONCATENATE(F7,G7)+0</f>
        <v>45038</v>
      </c>
      <c r="J7" s="231" t="s">
        <v>77</v>
      </c>
      <c r="K7">
        <f>INT(K4/4)</f>
        <v>6</v>
      </c>
      <c r="P7" s="231"/>
      <c r="S7" s="231"/>
    </row>
    <row r="8" spans="1:23">
      <c r="A8" s="231" t="s">
        <v>330</v>
      </c>
      <c r="B8">
        <v>4</v>
      </c>
      <c r="C8" t="s">
        <v>374</v>
      </c>
      <c r="F8" t="str">
        <f>IF(A1&lt;326,"PASCUA TEÒRICA","")</f>
        <v/>
      </c>
      <c r="J8" s="231" t="s">
        <v>0</v>
      </c>
      <c r="K8">
        <f>MOD(K4,4)</f>
        <v>0</v>
      </c>
      <c r="N8" t="s">
        <v>370</v>
      </c>
      <c r="P8" s="231" t="s">
        <v>244</v>
      </c>
      <c r="Q8" t="str">
        <f>VLOOKUP(K24,N9:Q15,4,)</f>
        <v>Martes</v>
      </c>
      <c r="S8" s="231"/>
      <c r="U8" s="231" t="s">
        <v>386</v>
      </c>
    </row>
    <row r="9" spans="1:23">
      <c r="A9" s="231" t="s">
        <v>331</v>
      </c>
      <c r="B9">
        <f>IF(B6&gt;31,B6-31,B6)</f>
        <v>22</v>
      </c>
      <c r="C9" t="s">
        <v>375</v>
      </c>
      <c r="J9" s="231" t="s">
        <v>8</v>
      </c>
      <c r="K9">
        <f>INT(((8*K3)+13)/25)</f>
        <v>6</v>
      </c>
      <c r="N9">
        <v>0</v>
      </c>
      <c r="O9" t="str">
        <f>IF($N$2=1,"ED","D")</f>
        <v>ED</v>
      </c>
      <c r="P9" s="231">
        <v>4</v>
      </c>
      <c r="Q9" t="str">
        <f>VLOOKUP($P9,$N$17:$O$24,2,)</f>
        <v>Jueves</v>
      </c>
      <c r="S9" s="231"/>
    </row>
    <row r="10" spans="1:23">
      <c r="A10" s="231" t="s">
        <v>332</v>
      </c>
      <c r="B10">
        <f>IF(B6&lt;32,3,4)</f>
        <v>4</v>
      </c>
      <c r="C10" t="s">
        <v>376</v>
      </c>
      <c r="J10" s="231" t="s">
        <v>3</v>
      </c>
      <c r="K10">
        <f>MOD((19*K2+K3-K5-K9+15),30)</f>
        <v>4</v>
      </c>
      <c r="N10">
        <v>1</v>
      </c>
      <c r="O10" t="str">
        <f>IF($N$2=1,"FE","E")</f>
        <v>FE</v>
      </c>
      <c r="P10" s="231">
        <v>3</v>
      </c>
      <c r="Q10" t="str">
        <f t="shared" ref="Q10:Q15" si="0">VLOOKUP($P10,$N$17:$O$24,2,)</f>
        <v>Miércoles</v>
      </c>
    </row>
    <row r="11" spans="1:23">
      <c r="C11" t="s">
        <v>377</v>
      </c>
      <c r="J11" s="231" t="s">
        <v>78</v>
      </c>
      <c r="K11" s="231">
        <f>INT((K2+11*K10)/319)</f>
        <v>0</v>
      </c>
      <c r="N11">
        <v>2</v>
      </c>
      <c r="O11" t="str">
        <f>IF($N$2=1,"GF","F")</f>
        <v>GF</v>
      </c>
      <c r="P11" s="231">
        <v>2</v>
      </c>
      <c r="Q11" t="str">
        <f t="shared" si="0"/>
        <v>Martes</v>
      </c>
    </row>
    <row r="12" spans="1:23" ht="15">
      <c r="C12" t="s">
        <v>378</v>
      </c>
      <c r="J12" s="231" t="s">
        <v>80</v>
      </c>
      <c r="K12">
        <f>MOD(((2*K6)+(2*K7)-K8-K10+K11+32),7)</f>
        <v>5</v>
      </c>
      <c r="N12">
        <v>3</v>
      </c>
      <c r="O12" t="str">
        <f>IF($N$2=1,"AG","G")</f>
        <v>AG</v>
      </c>
      <c r="P12" s="231">
        <v>1</v>
      </c>
      <c r="Q12" t="str">
        <f t="shared" si="0"/>
        <v>Lunes</v>
      </c>
      <c r="U12" s="249" t="s">
        <v>391</v>
      </c>
    </row>
    <row r="13" spans="1:23">
      <c r="J13" s="231" t="s">
        <v>360</v>
      </c>
      <c r="K13">
        <f>K10-K11+K12</f>
        <v>9</v>
      </c>
      <c r="L13" t="s">
        <v>372</v>
      </c>
      <c r="N13">
        <v>4</v>
      </c>
      <c r="O13" t="str">
        <f>IF($N$2=1,"BA","A")</f>
        <v>BA</v>
      </c>
      <c r="P13" s="231">
        <v>0</v>
      </c>
      <c r="Q13" t="str">
        <f t="shared" si="0"/>
        <v>Domingo</v>
      </c>
    </row>
    <row r="14" spans="1:23">
      <c r="A14" s="231" t="s">
        <v>0</v>
      </c>
      <c r="B14">
        <f>B2</f>
        <v>10</v>
      </c>
      <c r="C14" t="s">
        <v>86</v>
      </c>
      <c r="J14" s="231" t="s">
        <v>361</v>
      </c>
      <c r="K14">
        <f>INT((K13+90)/25)</f>
        <v>3</v>
      </c>
      <c r="L14" t="str">
        <f>VLOOKUP(K14,A41:B46,2,)</f>
        <v>MARZO</v>
      </c>
      <c r="N14">
        <v>5</v>
      </c>
      <c r="O14" t="str">
        <f>IF($N$2=1,"CB","B")</f>
        <v>CB</v>
      </c>
      <c r="P14" s="231">
        <v>6</v>
      </c>
      <c r="Q14" t="str">
        <f t="shared" si="0"/>
        <v>Sábado</v>
      </c>
    </row>
    <row r="15" spans="1:23" ht="15">
      <c r="A15" s="231" t="s">
        <v>5</v>
      </c>
      <c r="B15">
        <f>INT(A1/100)</f>
        <v>20</v>
      </c>
      <c r="C15" t="s">
        <v>87</v>
      </c>
      <c r="J15" s="231" t="s">
        <v>363</v>
      </c>
      <c r="K15" s="485">
        <f>IF(A1&gt;1582,MOD((K13+19+K14),32),F7)</f>
        <v>31</v>
      </c>
      <c r="L15" s="485" t="str">
        <f>IF(A1&gt;1582,L14,G7)</f>
        <v>MARZO</v>
      </c>
      <c r="M15" s="247">
        <f>CONCATENATE(K15,L15)+0</f>
        <v>45016</v>
      </c>
      <c r="N15">
        <v>6</v>
      </c>
      <c r="O15" t="str">
        <f>IF($N$2=1,"DC","C")</f>
        <v>DC</v>
      </c>
      <c r="P15" s="231">
        <v>5</v>
      </c>
      <c r="Q15" t="str">
        <f t="shared" si="0"/>
        <v>Viernes</v>
      </c>
      <c r="U15" s="249" t="s">
        <v>387</v>
      </c>
    </row>
    <row r="16" spans="1:23">
      <c r="B16">
        <f>((B15-INT(B15/4)-INT((8*B15+13)/25))+19*B14+15)</f>
        <v>214</v>
      </c>
      <c r="J16" s="231" t="s">
        <v>364</v>
      </c>
      <c r="K16">
        <f>K2+1</f>
        <v>11</v>
      </c>
      <c r="L16" t="str">
        <f>ROMAN(K16)</f>
        <v>XI</v>
      </c>
      <c r="M16" t="str">
        <f>IF(H1&lt;326,"PASCUA TEÒRICA","")</f>
        <v/>
      </c>
      <c r="P16" s="231"/>
    </row>
    <row r="17" spans="1:27" ht="15">
      <c r="A17" s="231" t="s">
        <v>8</v>
      </c>
      <c r="B17">
        <f>MOD(B16,30)</f>
        <v>4</v>
      </c>
      <c r="C17" t="s">
        <v>91</v>
      </c>
      <c r="J17" s="231" t="s">
        <v>365</v>
      </c>
      <c r="K17">
        <f>MOD(11*(K16-1),30)</f>
        <v>20</v>
      </c>
      <c r="L17" t="str">
        <f>IF(A1&lt;1583,"CALENDARIO JULIANO","CALENDARIO GREGORIANO")</f>
        <v>CALENDARIO GREGORIANO</v>
      </c>
      <c r="N17">
        <v>0</v>
      </c>
      <c r="O17" s="231" t="s">
        <v>279</v>
      </c>
      <c r="P17" s="246">
        <v>42430</v>
      </c>
      <c r="Q17" s="239">
        <f>MOD((P4+31+28+N2),7)</f>
        <v>5</v>
      </c>
      <c r="R17" t="str">
        <f>VLOOKUP($Q17,$N$17:$O$24,2,)</f>
        <v>Viernes</v>
      </c>
      <c r="U17" s="249" t="s">
        <v>392</v>
      </c>
      <c r="Y17" s="231" t="s">
        <v>393</v>
      </c>
    </row>
    <row r="18" spans="1:27">
      <c r="A18" s="231" t="s">
        <v>1</v>
      </c>
      <c r="B18">
        <f>B17-INT(B17/28)*(1-INT(B17/28))*INT(29/(B17+1))*(INT((21-B14)/11))</f>
        <v>4</v>
      </c>
      <c r="C18" t="s">
        <v>333</v>
      </c>
      <c r="J18" s="231" t="s">
        <v>366</v>
      </c>
      <c r="K18">
        <f>INT(A1/100)+1</f>
        <v>21</v>
      </c>
      <c r="N18">
        <v>1</v>
      </c>
      <c r="O18" s="231" t="s">
        <v>280</v>
      </c>
      <c r="P18" s="246">
        <v>42450</v>
      </c>
      <c r="Q18" s="239">
        <f>MOD((Q17+20),7)</f>
        <v>4</v>
      </c>
      <c r="R18" t="str">
        <f>VLOOKUP($Q18,$N$17:$O$24,2,)</f>
        <v>Jueves</v>
      </c>
    </row>
    <row r="19" spans="1:27" ht="15">
      <c r="C19" t="s">
        <v>334</v>
      </c>
      <c r="J19" s="231" t="s">
        <v>367</v>
      </c>
      <c r="K19">
        <f>INT(3*K18/4)</f>
        <v>15</v>
      </c>
      <c r="N19">
        <v>2</v>
      </c>
      <c r="O19" s="231" t="s">
        <v>281</v>
      </c>
      <c r="P19" s="231"/>
      <c r="U19" s="249" t="s">
        <v>394</v>
      </c>
      <c r="AA19" s="231" t="s">
        <v>395</v>
      </c>
    </row>
    <row r="20" spans="1:27">
      <c r="B20">
        <f>(A1+INT(A1/4)+B18+2-B15+INT(B15/4))</f>
        <v>2521</v>
      </c>
      <c r="J20" s="231" t="s">
        <v>368</v>
      </c>
      <c r="K20">
        <f>INT((8*K18+5)/25)</f>
        <v>6</v>
      </c>
      <c r="N20">
        <v>3</v>
      </c>
      <c r="O20" s="231" t="s">
        <v>282</v>
      </c>
      <c r="P20" s="231"/>
    </row>
    <row r="21" spans="1:27" ht="15">
      <c r="A21" s="231" t="s">
        <v>3</v>
      </c>
      <c r="B21">
        <f>MOD(B20,7)</f>
        <v>1</v>
      </c>
      <c r="C21" t="s">
        <v>335</v>
      </c>
      <c r="J21" s="231" t="s">
        <v>369</v>
      </c>
      <c r="K21">
        <f>IF(K17-K19+K20+8&lt;0,K17-K19+K20+8+30,K17-K19+K20+8)</f>
        <v>19</v>
      </c>
      <c r="L21">
        <f>IF(K21&lt;0,K21+30,K21)</f>
        <v>19</v>
      </c>
      <c r="M21">
        <f>IF(K21=25,26,K21)</f>
        <v>19</v>
      </c>
      <c r="N21">
        <v>4</v>
      </c>
      <c r="O21" s="231" t="s">
        <v>283</v>
      </c>
      <c r="P21" s="231"/>
      <c r="R21" s="248" t="str">
        <f>IF(A1&lt;1583,"AÑO BISIESTO","")</f>
        <v/>
      </c>
      <c r="S21" s="248" t="str">
        <f>IF(A1&gt;1582,"AÑO BISIESTO","")</f>
        <v>AÑO BISIESTO</v>
      </c>
      <c r="U21" s="249" t="s">
        <v>396</v>
      </c>
    </row>
    <row r="22" spans="1:27" ht="15">
      <c r="A22" s="231" t="s">
        <v>4</v>
      </c>
      <c r="B22">
        <f>B18-B21+28</f>
        <v>31</v>
      </c>
      <c r="C22" t="s">
        <v>336</v>
      </c>
      <c r="K22">
        <f>IF(K21&gt;29,K21-30,K21)</f>
        <v>19</v>
      </c>
      <c r="L22">
        <f>IF(K22&gt;29,K22-30,K22)</f>
        <v>19</v>
      </c>
      <c r="N22">
        <v>5</v>
      </c>
      <c r="O22" s="231" t="s">
        <v>284</v>
      </c>
      <c r="P22" s="231"/>
      <c r="R22" s="248" t="str">
        <f>IF(A1&lt;1583,"AÑO NO BISIESTO","")</f>
        <v/>
      </c>
      <c r="S22" s="248" t="str">
        <f>IF(A1&gt;1582,"AÑO NO BISIESTO","")</f>
        <v>AÑO NO BISIESTO</v>
      </c>
      <c r="U22" s="249" t="s">
        <v>397</v>
      </c>
    </row>
    <row r="23" spans="1:27">
      <c r="A23" s="231" t="s">
        <v>339</v>
      </c>
      <c r="B23">
        <f>B22</f>
        <v>31</v>
      </c>
      <c r="C23" t="s">
        <v>337</v>
      </c>
      <c r="F23" t="str">
        <f>IF(A1&lt;326,"VER CALENDARIO JULIANO","")</f>
        <v/>
      </c>
      <c r="N23">
        <v>6</v>
      </c>
      <c r="O23" s="231" t="s">
        <v>285</v>
      </c>
      <c r="P23" s="231"/>
    </row>
    <row r="24" spans="1:27">
      <c r="A24" s="231" t="s">
        <v>340</v>
      </c>
      <c r="B24">
        <v>4</v>
      </c>
      <c r="C24" t="s">
        <v>338</v>
      </c>
      <c r="F24" s="230" t="s">
        <v>359</v>
      </c>
      <c r="J24" s="231" t="s">
        <v>370</v>
      </c>
      <c r="K24">
        <f>MOD(K13,7)</f>
        <v>2</v>
      </c>
      <c r="L24" s="245" t="str">
        <f>VLOOKUP(K24,N9:O15,2,)</f>
        <v>GF</v>
      </c>
      <c r="N24">
        <v>7</v>
      </c>
      <c r="O24" s="231" t="s">
        <v>279</v>
      </c>
    </row>
    <row r="25" spans="1:27">
      <c r="A25" s="231" t="s">
        <v>339</v>
      </c>
      <c r="B25">
        <f>IF(B23&gt;31,B23-31,B23)</f>
        <v>31</v>
      </c>
      <c r="C25" t="s">
        <v>99</v>
      </c>
      <c r="D25" t="s">
        <v>379</v>
      </c>
      <c r="F25" s="238">
        <f>IF($A$1&lt;326,F7,B25)</f>
        <v>31</v>
      </c>
      <c r="G25" s="238" t="str">
        <f>IF($A$1&lt;326,G7,VLOOKUP(B26,A41:B46,2,))</f>
        <v>MARZO</v>
      </c>
      <c r="H25" s="247">
        <f>IF(A1&lt;326,"",CONCATENATE(F25,G25)+0)</f>
        <v>45016</v>
      </c>
    </row>
    <row r="26" spans="1:27">
      <c r="A26" s="231" t="s">
        <v>340</v>
      </c>
      <c r="B26">
        <f>IF(B22&lt;32,3,4)</f>
        <v>3</v>
      </c>
      <c r="C26" t="s">
        <v>381</v>
      </c>
      <c r="D26" t="s">
        <v>380</v>
      </c>
      <c r="U26" t="str">
        <f>IF(OR(AND(MOD(A1,4)=0,MOD(A1,100)&lt;&gt;0),MOD(A1,400)=0),"AÑO BISIESTO","AÑO NO BISIESTO")</f>
        <v>AÑO BISIESTO</v>
      </c>
    </row>
    <row r="27" spans="1:27" ht="15">
      <c r="F27" t="s">
        <v>356</v>
      </c>
      <c r="I27" t="s">
        <v>357</v>
      </c>
      <c r="O27" s="249" t="str">
        <f>IF(DAY(EOMONTH(DATE($A$1,2,1),0)) = 29,"VERDADERO")</f>
        <v>VERDADERO</v>
      </c>
    </row>
    <row r="28" spans="1:27">
      <c r="A28" s="231" t="s">
        <v>341</v>
      </c>
      <c r="B28">
        <f>IF(AND(A1&gt;1582,A1&lt;10000),10,0)</f>
        <v>10</v>
      </c>
      <c r="F28" t="s">
        <v>382</v>
      </c>
    </row>
    <row r="29" spans="1:27" ht="15">
      <c r="A29" s="231" t="s">
        <v>342</v>
      </c>
      <c r="B29">
        <f>INT(A1/100)-16</f>
        <v>4</v>
      </c>
      <c r="C29" t="s">
        <v>343</v>
      </c>
      <c r="O29" s="249">
        <f>DAY(EOMONTH(DATE(A1,2,1),0))</f>
        <v>29</v>
      </c>
    </row>
    <row r="30" spans="1:27">
      <c r="A30" s="231" t="s">
        <v>344</v>
      </c>
      <c r="B30">
        <f>B28+B29-INT(B29/4)</f>
        <v>13</v>
      </c>
      <c r="C30" s="231" t="s">
        <v>399</v>
      </c>
    </row>
    <row r="31" spans="1:27">
      <c r="A31" s="231" t="s">
        <v>345</v>
      </c>
      <c r="B31">
        <f>IF(A1&gt;1582,B9+B30,B9)</f>
        <v>35</v>
      </c>
    </row>
    <row r="32" spans="1:27">
      <c r="A32" s="231" t="s">
        <v>346</v>
      </c>
      <c r="B32">
        <f>B10</f>
        <v>4</v>
      </c>
      <c r="C32" t="s">
        <v>347</v>
      </c>
    </row>
    <row r="33" spans="1:8">
      <c r="A33" s="231" t="s">
        <v>346</v>
      </c>
      <c r="B33">
        <f>IF(AND($B$32=3,$B$31&gt;31),4,B32)</f>
        <v>4</v>
      </c>
      <c r="C33" t="s">
        <v>348</v>
      </c>
      <c r="F33" t="str">
        <f>IF(A1&lt;326,"VER CALENDARIO JULIANO","")</f>
        <v/>
      </c>
    </row>
    <row r="34" spans="1:8">
      <c r="A34" s="231" t="s">
        <v>345</v>
      </c>
      <c r="B34">
        <f>IF(AND($B$32=3,$B$31&gt;31),B31-31,B31)</f>
        <v>35</v>
      </c>
      <c r="C34" t="s">
        <v>349</v>
      </c>
      <c r="F34" s="230" t="s">
        <v>358</v>
      </c>
    </row>
    <row r="35" spans="1:8">
      <c r="A35" t="s">
        <v>346</v>
      </c>
      <c r="B35">
        <f>IF(AND($B$32=4,$B$31&gt;30),B33+1,B33)</f>
        <v>5</v>
      </c>
      <c r="C35" t="s">
        <v>350</v>
      </c>
      <c r="F35" s="238">
        <f>IF(A1&lt;326,F7,B40)</f>
        <v>5</v>
      </c>
      <c r="G35" s="238" t="str">
        <f>IF(A1&lt;326,G7,VLOOKUP(B39,A41:B46,2,))</f>
        <v>MAYO</v>
      </c>
      <c r="H35" s="247">
        <f>IF(A1&lt;326,"",CONCATENATE(F35,G35)+0)</f>
        <v>45051</v>
      </c>
    </row>
    <row r="36" spans="1:8">
      <c r="A36" t="s">
        <v>345</v>
      </c>
      <c r="B36">
        <f>IF(AND($B$32=4,$B$31&gt;30),B34-30,B34)</f>
        <v>5</v>
      </c>
      <c r="C36" t="s">
        <v>351</v>
      </c>
    </row>
    <row r="37" spans="1:8">
      <c r="B37">
        <f>IF(AND(B35=5,B36&gt;30),B35+1,B35)</f>
        <v>5</v>
      </c>
      <c r="C37" t="s">
        <v>352</v>
      </c>
    </row>
    <row r="38" spans="1:8">
      <c r="B38">
        <f>IF(AND(B37=6,B36&gt;31),B36-31,B36)</f>
        <v>5</v>
      </c>
      <c r="C38" t="s">
        <v>353</v>
      </c>
      <c r="F38" s="241">
        <f>A1</f>
        <v>2024</v>
      </c>
      <c r="G38" s="231"/>
    </row>
    <row r="39" spans="1:8">
      <c r="B39">
        <f>IF(B38&gt;31,B37+1,B37)</f>
        <v>5</v>
      </c>
      <c r="C39" t="s">
        <v>354</v>
      </c>
      <c r="E39" s="231" t="s">
        <v>79</v>
      </c>
      <c r="F39" s="231" t="s">
        <v>0</v>
      </c>
      <c r="G39">
        <f>MOD($A$1,19)</f>
        <v>10</v>
      </c>
      <c r="H39" t="s">
        <v>86</v>
      </c>
    </row>
    <row r="40" spans="1:8">
      <c r="B40">
        <f>IF(B38&gt;31,B38-31,B38)</f>
        <v>5</v>
      </c>
      <c r="C40" t="s">
        <v>355</v>
      </c>
      <c r="E40" s="231" t="s">
        <v>81</v>
      </c>
      <c r="F40" s="231" t="s">
        <v>1</v>
      </c>
      <c r="G40">
        <f>MOD((19*G39+15),30)</f>
        <v>25</v>
      </c>
      <c r="H40" s="216" t="s">
        <v>102</v>
      </c>
    </row>
    <row r="41" spans="1:8">
      <c r="A41">
        <v>1</v>
      </c>
      <c r="B41" s="231" t="s">
        <v>255</v>
      </c>
      <c r="E41" s="231"/>
      <c r="G41">
        <f>$A$1+INT($A$1/4)+G40</f>
        <v>2555</v>
      </c>
    </row>
    <row r="42" spans="1:8">
      <c r="A42">
        <v>2</v>
      </c>
      <c r="B42" s="231" t="s">
        <v>256</v>
      </c>
      <c r="E42" s="231" t="s">
        <v>400</v>
      </c>
      <c r="F42" s="231" t="s">
        <v>3</v>
      </c>
      <c r="G42">
        <f>MOD(G41,7)</f>
        <v>0</v>
      </c>
      <c r="H42" s="231" t="s">
        <v>328</v>
      </c>
    </row>
    <row r="43" spans="1:8">
      <c r="A43">
        <v>3</v>
      </c>
      <c r="B43" s="231" t="s">
        <v>257</v>
      </c>
      <c r="E43" s="231" t="s">
        <v>401</v>
      </c>
      <c r="F43" s="231" t="s">
        <v>4</v>
      </c>
      <c r="G43">
        <f>G40-G42+28</f>
        <v>53</v>
      </c>
      <c r="H43" t="s">
        <v>97</v>
      </c>
    </row>
    <row r="44" spans="1:8">
      <c r="A44">
        <v>4</v>
      </c>
      <c r="B44" s="231" t="s">
        <v>232</v>
      </c>
      <c r="F44" s="231" t="s">
        <v>329</v>
      </c>
      <c r="G44">
        <f>G43</f>
        <v>53</v>
      </c>
      <c r="H44" t="s">
        <v>373</v>
      </c>
    </row>
    <row r="45" spans="1:8">
      <c r="A45">
        <v>5</v>
      </c>
      <c r="B45" s="231" t="s">
        <v>258</v>
      </c>
      <c r="F45" s="231" t="s">
        <v>330</v>
      </c>
      <c r="G45">
        <v>4</v>
      </c>
      <c r="H45" t="s">
        <v>374</v>
      </c>
    </row>
    <row r="46" spans="1:8">
      <c r="A46">
        <v>6</v>
      </c>
      <c r="B46" s="231" t="s">
        <v>259</v>
      </c>
      <c r="F46" s="231" t="s">
        <v>331</v>
      </c>
      <c r="G46">
        <f>IF(G43&gt;31,G43-31,G43)</f>
        <v>22</v>
      </c>
      <c r="H46" t="s">
        <v>375</v>
      </c>
    </row>
  </sheetData>
  <sheetProtection password="888B" sheet="1" objects="1" scenarios="1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2"/>
  <dimension ref="A1:T1105"/>
  <sheetViews>
    <sheetView showGridLines="0" showRowColHeaders="0" topLeftCell="A95" workbookViewId="0">
      <selection activeCell="L128" sqref="L128"/>
    </sheetView>
  </sheetViews>
  <sheetFormatPr baseColWidth="10" defaultRowHeight="13.2"/>
  <cols>
    <col min="1" max="1" width="3.109375" customWidth="1"/>
    <col min="2" max="10" width="6.88671875" style="203" customWidth="1"/>
    <col min="11" max="11" width="29.88671875" style="216" customWidth="1"/>
    <col min="12" max="16" width="6.33203125" customWidth="1"/>
    <col min="17" max="17" width="4" customWidth="1"/>
    <col min="19" max="19" width="2.77734375" customWidth="1"/>
  </cols>
  <sheetData>
    <row r="1" spans="1:20" ht="18.600000000000001" thickBot="1">
      <c r="B1" s="755" t="s">
        <v>433</v>
      </c>
      <c r="C1" s="755"/>
      <c r="D1" s="755"/>
      <c r="E1" s="755"/>
      <c r="F1" s="755"/>
      <c r="G1" s="755"/>
      <c r="H1" s="755"/>
      <c r="I1" s="755"/>
      <c r="J1" s="755"/>
      <c r="K1" s="755"/>
      <c r="M1" s="535" t="s">
        <v>796</v>
      </c>
    </row>
    <row r="2" spans="1:20">
      <c r="B2" s="293"/>
      <c r="C2" s="293"/>
      <c r="D2" s="293"/>
      <c r="E2" s="293"/>
    </row>
    <row r="3" spans="1:20" ht="14.4">
      <c r="A3" s="294"/>
      <c r="B3" s="295" t="s">
        <v>287</v>
      </c>
      <c r="C3" s="295" t="s">
        <v>234</v>
      </c>
      <c r="D3" s="295" t="s">
        <v>420</v>
      </c>
      <c r="E3" s="295" t="s">
        <v>74</v>
      </c>
      <c r="F3" s="295" t="s">
        <v>75</v>
      </c>
      <c r="G3" s="295" t="s">
        <v>5</v>
      </c>
      <c r="H3" s="295" t="s">
        <v>76</v>
      </c>
      <c r="I3" s="295" t="s">
        <v>52</v>
      </c>
      <c r="J3" s="295" t="s">
        <v>421</v>
      </c>
      <c r="K3" s="296" t="s">
        <v>422</v>
      </c>
      <c r="M3" s="756" t="s">
        <v>423</v>
      </c>
      <c r="N3" s="756"/>
      <c r="O3" s="608" t="s">
        <v>234</v>
      </c>
      <c r="P3" s="608" t="s">
        <v>420</v>
      </c>
      <c r="R3" s="231" t="s">
        <v>757</v>
      </c>
      <c r="T3" s="231" t="s">
        <v>758</v>
      </c>
    </row>
    <row r="4" spans="1:20">
      <c r="A4" s="294"/>
      <c r="B4" s="604">
        <v>1900</v>
      </c>
      <c r="C4" s="297">
        <f>VLOOKUP(B4,$M$4:$P$86,3,TRUE)</f>
        <v>24</v>
      </c>
      <c r="D4" s="297">
        <f>VLOOKUP(B4,$M$4:$P$86,4,TRUE)</f>
        <v>5</v>
      </c>
      <c r="E4" s="297">
        <f>MOD(B4,19)</f>
        <v>0</v>
      </c>
      <c r="F4" s="298">
        <f>MOD(B4,4)</f>
        <v>0</v>
      </c>
      <c r="G4" s="298">
        <f>MOD(B4,7)</f>
        <v>3</v>
      </c>
      <c r="H4" s="298">
        <f>MOD(19*E4+C4,30)</f>
        <v>24</v>
      </c>
      <c r="I4" s="298">
        <f>MOD(2*F4+4*G4+6*H4+D4,7)</f>
        <v>0</v>
      </c>
      <c r="J4" s="298">
        <f>H4+I4</f>
        <v>24</v>
      </c>
      <c r="K4" s="299">
        <f>IF(J4&lt;10,DATE(B4,3,J4+22),IF(J4-9=26,DATE(B4,4,19),IF(AND(J4-9=25,H4=28,I4=6,E4&gt;10),DATE(B4,4,18),DATE(B4,4,J4-9))))</f>
        <v>106</v>
      </c>
      <c r="L4" s="300"/>
      <c r="M4" s="605">
        <v>1</v>
      </c>
      <c r="N4" s="606">
        <v>1582</v>
      </c>
      <c r="O4" s="609">
        <v>15</v>
      </c>
      <c r="P4" s="609">
        <v>6</v>
      </c>
      <c r="R4" s="497">
        <f>IF(MOD(19*MOD($B4,19)+$C4,30)+MOD(2*MOD($B4,4)+4*MOD($B4,7)+6*MOD(19*MOD($B4,19)+$C4,30)+$D4,7)-9&lt;=0,DATE($B4,3,22+MOD(19*MOD($B4,19)+$C4,30)+MOD(2*MOD($B4,4)+4*MOD($B4,7)+6*MOD(19*MOD($B4,19)+$C4,30)+$D4,7)),DATE($B4,4,MOD(19*MOD($B4,19)+$C4,30)+MOD(2*MOD($B4,4)+4*MOD($B4,7)+6*MOD(19*MOD($B4,19)+$C4,30)+$D4,7)-9))</f>
        <v>106</v>
      </c>
      <c r="T4" s="302">
        <f>DOLLAR(("4/"&amp;B4)/7+MOD(19*MOD(B4,19)-7,30)*14%,)*7-6</f>
        <v>106</v>
      </c>
    </row>
    <row r="5" spans="1:20">
      <c r="A5" s="294"/>
      <c r="B5" s="604">
        <f>B4+1</f>
        <v>1901</v>
      </c>
      <c r="C5" s="297">
        <f t="shared" ref="C5:C68" si="0">VLOOKUP(B5,$M$4:$P$86,3,TRUE)</f>
        <v>24</v>
      </c>
      <c r="D5" s="297">
        <f t="shared" ref="D5:D9" si="1">VLOOKUP(B5,$M$4:$P$86,4,TRUE)</f>
        <v>5</v>
      </c>
      <c r="E5" s="297">
        <f t="shared" ref="E5:E9" si="2">MOD(B5,19)</f>
        <v>1</v>
      </c>
      <c r="F5" s="298">
        <f t="shared" ref="F5:F9" si="3">MOD(B5,4)</f>
        <v>1</v>
      </c>
      <c r="G5" s="298">
        <f t="shared" ref="G5:G9" si="4">MOD(B5,7)</f>
        <v>4</v>
      </c>
      <c r="H5" s="298">
        <f t="shared" ref="H5:H9" si="5">MOD(19*E5+C5,30)</f>
        <v>13</v>
      </c>
      <c r="I5" s="298">
        <f t="shared" ref="I5:I9" si="6">MOD(2*F5+4*G5+6*H5+D5,7)</f>
        <v>3</v>
      </c>
      <c r="J5" s="298">
        <f t="shared" ref="J5:J9" si="7">H5+I5</f>
        <v>16</v>
      </c>
      <c r="K5" s="299">
        <f t="shared" ref="K5:K9" si="8">IF(J5&lt;10,DATE(B5,3,J5+22),IF(J5-9=26,DATE(B5,4,19),IF(AND(J5-9=25,H5=28,I5=6,E5&gt;10),DATE(B5,4,18),DATE(B5,4,J5-9))))</f>
        <v>463</v>
      </c>
      <c r="M5" s="606">
        <v>1583</v>
      </c>
      <c r="N5" s="606">
        <v>1699</v>
      </c>
      <c r="O5" s="610">
        <v>22</v>
      </c>
      <c r="P5" s="610">
        <v>2</v>
      </c>
      <c r="R5" s="497">
        <f t="shared" ref="R5:R68" si="9">IF(MOD(19*MOD(B5,19)+C5,30)+MOD(2*MOD(B5,4)+4*MOD(B5,7)+6*MOD(19*MOD(B5,19)+C5,30)+D5,7)-9&lt;=0,DATE(B5,3,22+MOD(19*MOD(B5,19)+C5,30)+MOD(2*MOD(B5,4)+4*MOD(B5,7)+6*MOD(19*MOD(B5,19)+C5,30)+D5,7)),DATE(B5,4,MOD(19*MOD(B5,19)+C5,30)+MOD(2*MOD(B5,4)+4*MOD(B5,7)+6*MOD(19*MOD(B5,19)+C5,30)+D5,7)-9))</f>
        <v>463</v>
      </c>
      <c r="T5" s="302">
        <f t="shared" ref="T5:T68" si="10">DOLLAR(("4/"&amp;B5)/7+MOD(19*MOD(B5,19)-7,30)*14%,)*7-6</f>
        <v>463</v>
      </c>
    </row>
    <row r="6" spans="1:20">
      <c r="A6" s="294"/>
      <c r="B6" s="604">
        <f t="shared" ref="B6:B69" si="11">B5+1</f>
        <v>1902</v>
      </c>
      <c r="C6" s="297">
        <f t="shared" si="0"/>
        <v>24</v>
      </c>
      <c r="D6" s="297">
        <f t="shared" si="1"/>
        <v>5</v>
      </c>
      <c r="E6" s="297">
        <f t="shared" si="2"/>
        <v>2</v>
      </c>
      <c r="F6" s="298">
        <f t="shared" si="3"/>
        <v>2</v>
      </c>
      <c r="G6" s="298">
        <f t="shared" si="4"/>
        <v>5</v>
      </c>
      <c r="H6" s="298">
        <f t="shared" si="5"/>
        <v>2</v>
      </c>
      <c r="I6" s="298">
        <f t="shared" si="6"/>
        <v>6</v>
      </c>
      <c r="J6" s="298">
        <f t="shared" si="7"/>
        <v>8</v>
      </c>
      <c r="K6" s="299">
        <f t="shared" si="8"/>
        <v>820</v>
      </c>
      <c r="M6" s="606">
        <v>1700</v>
      </c>
      <c r="N6" s="606">
        <v>1799</v>
      </c>
      <c r="O6" s="610">
        <v>23</v>
      </c>
      <c r="P6" s="610">
        <v>3</v>
      </c>
      <c r="R6" s="497">
        <f t="shared" si="9"/>
        <v>820</v>
      </c>
      <c r="T6" s="302">
        <f t="shared" si="10"/>
        <v>820</v>
      </c>
    </row>
    <row r="7" spans="1:20">
      <c r="A7" s="294"/>
      <c r="B7" s="604">
        <f t="shared" si="11"/>
        <v>1903</v>
      </c>
      <c r="C7" s="297">
        <f t="shared" si="0"/>
        <v>24</v>
      </c>
      <c r="D7" s="297">
        <f t="shared" si="1"/>
        <v>5</v>
      </c>
      <c r="E7" s="297">
        <f t="shared" si="2"/>
        <v>3</v>
      </c>
      <c r="F7" s="298">
        <f t="shared" si="3"/>
        <v>3</v>
      </c>
      <c r="G7" s="298">
        <f t="shared" si="4"/>
        <v>6</v>
      </c>
      <c r="H7" s="298">
        <f t="shared" si="5"/>
        <v>21</v>
      </c>
      <c r="I7" s="298">
        <f t="shared" si="6"/>
        <v>0</v>
      </c>
      <c r="J7" s="298">
        <f t="shared" si="7"/>
        <v>21</v>
      </c>
      <c r="K7" s="299">
        <f t="shared" si="8"/>
        <v>1198</v>
      </c>
      <c r="M7" s="606">
        <v>1800</v>
      </c>
      <c r="N7" s="606">
        <v>1899</v>
      </c>
      <c r="O7" s="610">
        <v>23</v>
      </c>
      <c r="P7" s="610">
        <v>4</v>
      </c>
      <c r="R7" s="497">
        <f t="shared" si="9"/>
        <v>1198</v>
      </c>
      <c r="T7" s="302">
        <f t="shared" si="10"/>
        <v>1198</v>
      </c>
    </row>
    <row r="8" spans="1:20">
      <c r="A8" s="294"/>
      <c r="B8" s="604">
        <f t="shared" si="11"/>
        <v>1904</v>
      </c>
      <c r="C8" s="297">
        <f t="shared" si="0"/>
        <v>24</v>
      </c>
      <c r="D8" s="297">
        <f t="shared" si="1"/>
        <v>5</v>
      </c>
      <c r="E8" s="297">
        <f t="shared" si="2"/>
        <v>4</v>
      </c>
      <c r="F8" s="298">
        <f t="shared" si="3"/>
        <v>0</v>
      </c>
      <c r="G8" s="298">
        <f t="shared" si="4"/>
        <v>0</v>
      </c>
      <c r="H8" s="298">
        <f t="shared" si="5"/>
        <v>10</v>
      </c>
      <c r="I8" s="298">
        <f t="shared" si="6"/>
        <v>2</v>
      </c>
      <c r="J8" s="298">
        <f t="shared" si="7"/>
        <v>12</v>
      </c>
      <c r="K8" s="299">
        <f t="shared" si="8"/>
        <v>1555</v>
      </c>
      <c r="M8" s="606">
        <v>1900</v>
      </c>
      <c r="N8" s="606">
        <v>2099</v>
      </c>
      <c r="O8" s="610">
        <v>24</v>
      </c>
      <c r="P8" s="610">
        <v>5</v>
      </c>
      <c r="R8" s="497">
        <f t="shared" si="9"/>
        <v>1555</v>
      </c>
      <c r="T8" s="302">
        <f t="shared" si="10"/>
        <v>1555</v>
      </c>
    </row>
    <row r="9" spans="1:20">
      <c r="A9" s="294"/>
      <c r="B9" s="604">
        <f t="shared" si="11"/>
        <v>1905</v>
      </c>
      <c r="C9" s="297">
        <f t="shared" si="0"/>
        <v>24</v>
      </c>
      <c r="D9" s="297">
        <f t="shared" si="1"/>
        <v>5</v>
      </c>
      <c r="E9" s="297">
        <f t="shared" si="2"/>
        <v>5</v>
      </c>
      <c r="F9" s="298">
        <f t="shared" si="3"/>
        <v>1</v>
      </c>
      <c r="G9" s="298">
        <f t="shared" si="4"/>
        <v>1</v>
      </c>
      <c r="H9" s="298">
        <f t="shared" si="5"/>
        <v>29</v>
      </c>
      <c r="I9" s="298">
        <f t="shared" si="6"/>
        <v>3</v>
      </c>
      <c r="J9" s="298">
        <f t="shared" si="7"/>
        <v>32</v>
      </c>
      <c r="K9" s="299">
        <f t="shared" si="8"/>
        <v>1940</v>
      </c>
      <c r="M9" s="606">
        <v>2100</v>
      </c>
      <c r="N9" s="606">
        <v>2199</v>
      </c>
      <c r="O9" s="610">
        <v>24</v>
      </c>
      <c r="P9" s="610">
        <v>6</v>
      </c>
      <c r="R9" s="497">
        <f t="shared" si="9"/>
        <v>1940</v>
      </c>
      <c r="T9" s="302">
        <f t="shared" si="10"/>
        <v>1940</v>
      </c>
    </row>
    <row r="10" spans="1:20">
      <c r="A10" s="294"/>
      <c r="B10" s="604">
        <f t="shared" si="11"/>
        <v>1906</v>
      </c>
      <c r="C10" s="297">
        <f t="shared" si="0"/>
        <v>24</v>
      </c>
      <c r="D10" s="297">
        <f t="shared" ref="D10:D73" si="12">VLOOKUP(B10,$M$4:$P$86,4,TRUE)</f>
        <v>5</v>
      </c>
      <c r="E10" s="297">
        <f t="shared" ref="E10:E73" si="13">MOD(B10,19)</f>
        <v>6</v>
      </c>
      <c r="F10" s="298">
        <f t="shared" ref="F10:F73" si="14">MOD(B10,4)</f>
        <v>2</v>
      </c>
      <c r="G10" s="298">
        <f t="shared" ref="G10:G73" si="15">MOD(B10,7)</f>
        <v>2</v>
      </c>
      <c r="H10" s="298">
        <f t="shared" ref="H10:H73" si="16">MOD(19*E10+C10,30)</f>
        <v>18</v>
      </c>
      <c r="I10" s="298">
        <f t="shared" ref="I10:I73" si="17">MOD(2*F10+4*G10+6*H10+D10,7)</f>
        <v>6</v>
      </c>
      <c r="J10" s="298">
        <f t="shared" ref="J10:J73" si="18">H10+I10</f>
        <v>24</v>
      </c>
      <c r="K10" s="299">
        <f t="shared" ref="K10:K73" si="19">IF(J10&lt;10,DATE(B10,3,J10+22),IF(J10-9=26,DATE(B10,4,19),IF(AND(J10-9=25,H10=28,I10=6,E10&gt;10),DATE(B10,4,18),DATE(B10,4,J10-9))))</f>
        <v>2297</v>
      </c>
      <c r="M10" s="606">
        <v>2200</v>
      </c>
      <c r="N10" s="606">
        <v>2299</v>
      </c>
      <c r="O10" s="610">
        <v>25</v>
      </c>
      <c r="P10" s="610">
        <v>0</v>
      </c>
      <c r="R10" s="497">
        <f t="shared" si="9"/>
        <v>2297</v>
      </c>
      <c r="T10" s="302">
        <f t="shared" si="10"/>
        <v>2297</v>
      </c>
    </row>
    <row r="11" spans="1:20">
      <c r="A11" s="294"/>
      <c r="B11" s="604">
        <f t="shared" si="11"/>
        <v>1907</v>
      </c>
      <c r="C11" s="297">
        <f t="shared" si="0"/>
        <v>24</v>
      </c>
      <c r="D11" s="297">
        <f t="shared" si="12"/>
        <v>5</v>
      </c>
      <c r="E11" s="297">
        <f t="shared" si="13"/>
        <v>7</v>
      </c>
      <c r="F11" s="298">
        <f t="shared" si="14"/>
        <v>3</v>
      </c>
      <c r="G11" s="298">
        <f t="shared" si="15"/>
        <v>3</v>
      </c>
      <c r="H11" s="298">
        <f t="shared" si="16"/>
        <v>7</v>
      </c>
      <c r="I11" s="298">
        <f t="shared" si="17"/>
        <v>2</v>
      </c>
      <c r="J11" s="298">
        <f t="shared" si="18"/>
        <v>9</v>
      </c>
      <c r="K11" s="299">
        <f t="shared" si="19"/>
        <v>2647</v>
      </c>
      <c r="M11" s="605">
        <v>2300</v>
      </c>
      <c r="N11" s="605">
        <v>2399</v>
      </c>
      <c r="O11" s="610">
        <v>26</v>
      </c>
      <c r="P11" s="610">
        <v>1</v>
      </c>
      <c r="R11" s="497">
        <f t="shared" si="9"/>
        <v>2647</v>
      </c>
      <c r="T11" s="302">
        <f t="shared" si="10"/>
        <v>2647</v>
      </c>
    </row>
    <row r="12" spans="1:20">
      <c r="A12" s="294"/>
      <c r="B12" s="604">
        <f t="shared" si="11"/>
        <v>1908</v>
      </c>
      <c r="C12" s="297">
        <f t="shared" si="0"/>
        <v>24</v>
      </c>
      <c r="D12" s="297">
        <f t="shared" si="12"/>
        <v>5</v>
      </c>
      <c r="E12" s="297">
        <f t="shared" si="13"/>
        <v>8</v>
      </c>
      <c r="F12" s="298">
        <f t="shared" si="14"/>
        <v>0</v>
      </c>
      <c r="G12" s="298">
        <f t="shared" si="15"/>
        <v>4</v>
      </c>
      <c r="H12" s="298">
        <f t="shared" si="16"/>
        <v>26</v>
      </c>
      <c r="I12" s="298">
        <f t="shared" si="17"/>
        <v>2</v>
      </c>
      <c r="J12" s="298">
        <f t="shared" si="18"/>
        <v>28</v>
      </c>
      <c r="K12" s="299">
        <f t="shared" si="19"/>
        <v>3032</v>
      </c>
      <c r="M12" s="605">
        <v>2400</v>
      </c>
      <c r="N12" s="605">
        <v>2499</v>
      </c>
      <c r="O12" s="610">
        <v>25</v>
      </c>
      <c r="P12" s="610">
        <v>1</v>
      </c>
      <c r="R12" s="497">
        <f t="shared" si="9"/>
        <v>3032</v>
      </c>
      <c r="T12" s="302">
        <f t="shared" si="10"/>
        <v>3032</v>
      </c>
    </row>
    <row r="13" spans="1:20">
      <c r="A13" s="301"/>
      <c r="B13" s="604">
        <f t="shared" si="11"/>
        <v>1909</v>
      </c>
      <c r="C13" s="297">
        <f t="shared" si="0"/>
        <v>24</v>
      </c>
      <c r="D13" s="297">
        <f t="shared" si="12"/>
        <v>5</v>
      </c>
      <c r="E13" s="297">
        <f t="shared" si="13"/>
        <v>9</v>
      </c>
      <c r="F13" s="298">
        <f t="shared" si="14"/>
        <v>1</v>
      </c>
      <c r="G13" s="298">
        <f t="shared" si="15"/>
        <v>5</v>
      </c>
      <c r="H13" s="298">
        <f t="shared" si="16"/>
        <v>15</v>
      </c>
      <c r="I13" s="298">
        <f t="shared" si="17"/>
        <v>5</v>
      </c>
      <c r="J13" s="298">
        <f t="shared" si="18"/>
        <v>20</v>
      </c>
      <c r="K13" s="299">
        <f t="shared" si="19"/>
        <v>3389</v>
      </c>
      <c r="M13" s="605">
        <v>2500</v>
      </c>
      <c r="N13" s="605">
        <v>2599</v>
      </c>
      <c r="O13" s="610">
        <v>26</v>
      </c>
      <c r="P13" s="610">
        <v>2</v>
      </c>
      <c r="R13" s="497">
        <f t="shared" si="9"/>
        <v>3389</v>
      </c>
      <c r="T13" s="302">
        <f t="shared" si="10"/>
        <v>3389</v>
      </c>
    </row>
    <row r="14" spans="1:20">
      <c r="B14" s="604">
        <f t="shared" si="11"/>
        <v>1910</v>
      </c>
      <c r="C14" s="297">
        <f t="shared" si="0"/>
        <v>24</v>
      </c>
      <c r="D14" s="297">
        <f t="shared" si="12"/>
        <v>5</v>
      </c>
      <c r="E14" s="297">
        <f t="shared" si="13"/>
        <v>10</v>
      </c>
      <c r="F14" s="298">
        <f t="shared" si="14"/>
        <v>2</v>
      </c>
      <c r="G14" s="298">
        <f t="shared" si="15"/>
        <v>6</v>
      </c>
      <c r="H14" s="298">
        <f t="shared" si="16"/>
        <v>4</v>
      </c>
      <c r="I14" s="298">
        <f t="shared" si="17"/>
        <v>1</v>
      </c>
      <c r="J14" s="298">
        <f t="shared" si="18"/>
        <v>5</v>
      </c>
      <c r="K14" s="299">
        <f t="shared" si="19"/>
        <v>3739</v>
      </c>
      <c r="M14" s="605">
        <v>2600</v>
      </c>
      <c r="N14" s="605">
        <v>2699</v>
      </c>
      <c r="O14" s="610">
        <v>27</v>
      </c>
      <c r="P14" s="610">
        <v>3</v>
      </c>
      <c r="R14" s="497">
        <f t="shared" si="9"/>
        <v>3739</v>
      </c>
      <c r="T14" s="302">
        <f t="shared" si="10"/>
        <v>3739</v>
      </c>
    </row>
    <row r="15" spans="1:20">
      <c r="B15" s="604">
        <f t="shared" si="11"/>
        <v>1911</v>
      </c>
      <c r="C15" s="297">
        <f t="shared" si="0"/>
        <v>24</v>
      </c>
      <c r="D15" s="297">
        <f t="shared" si="12"/>
        <v>5</v>
      </c>
      <c r="E15" s="297">
        <f t="shared" si="13"/>
        <v>11</v>
      </c>
      <c r="F15" s="298">
        <f t="shared" si="14"/>
        <v>3</v>
      </c>
      <c r="G15" s="298">
        <f t="shared" si="15"/>
        <v>0</v>
      </c>
      <c r="H15" s="298">
        <f t="shared" si="16"/>
        <v>23</v>
      </c>
      <c r="I15" s="298">
        <f t="shared" si="17"/>
        <v>2</v>
      </c>
      <c r="J15" s="298">
        <f t="shared" si="18"/>
        <v>25</v>
      </c>
      <c r="K15" s="299">
        <f t="shared" si="19"/>
        <v>4124</v>
      </c>
      <c r="M15" s="605">
        <v>2700</v>
      </c>
      <c r="N15" s="605">
        <v>2799</v>
      </c>
      <c r="O15" s="610">
        <v>27</v>
      </c>
      <c r="P15" s="610">
        <v>4</v>
      </c>
      <c r="R15" s="497">
        <f t="shared" si="9"/>
        <v>4124</v>
      </c>
      <c r="T15" s="302">
        <f t="shared" si="10"/>
        <v>4124</v>
      </c>
    </row>
    <row r="16" spans="1:20">
      <c r="B16" s="604">
        <f t="shared" si="11"/>
        <v>1912</v>
      </c>
      <c r="C16" s="297">
        <f t="shared" si="0"/>
        <v>24</v>
      </c>
      <c r="D16" s="297">
        <f t="shared" si="12"/>
        <v>5</v>
      </c>
      <c r="E16" s="297">
        <f t="shared" si="13"/>
        <v>12</v>
      </c>
      <c r="F16" s="298">
        <f t="shared" si="14"/>
        <v>0</v>
      </c>
      <c r="G16" s="298">
        <f t="shared" si="15"/>
        <v>1</v>
      </c>
      <c r="H16" s="298">
        <f t="shared" si="16"/>
        <v>12</v>
      </c>
      <c r="I16" s="298">
        <f t="shared" si="17"/>
        <v>4</v>
      </c>
      <c r="J16" s="298">
        <f t="shared" si="18"/>
        <v>16</v>
      </c>
      <c r="K16" s="299">
        <f t="shared" si="19"/>
        <v>4481</v>
      </c>
      <c r="M16" s="605">
        <v>2800</v>
      </c>
      <c r="N16" s="605">
        <v>2899</v>
      </c>
      <c r="O16" s="610">
        <v>27</v>
      </c>
      <c r="P16" s="610">
        <v>4</v>
      </c>
      <c r="R16" s="497">
        <f t="shared" si="9"/>
        <v>4481</v>
      </c>
      <c r="T16" s="302">
        <f t="shared" si="10"/>
        <v>4481</v>
      </c>
    </row>
    <row r="17" spans="2:20">
      <c r="B17" s="604">
        <f t="shared" si="11"/>
        <v>1913</v>
      </c>
      <c r="C17" s="297">
        <f t="shared" si="0"/>
        <v>24</v>
      </c>
      <c r="D17" s="297">
        <f t="shared" si="12"/>
        <v>5</v>
      </c>
      <c r="E17" s="297">
        <f t="shared" si="13"/>
        <v>13</v>
      </c>
      <c r="F17" s="298">
        <f t="shared" si="14"/>
        <v>1</v>
      </c>
      <c r="G17" s="298">
        <f t="shared" si="15"/>
        <v>2</v>
      </c>
      <c r="H17" s="298">
        <f t="shared" si="16"/>
        <v>1</v>
      </c>
      <c r="I17" s="298">
        <f t="shared" si="17"/>
        <v>0</v>
      </c>
      <c r="J17" s="298">
        <f t="shared" si="18"/>
        <v>1</v>
      </c>
      <c r="K17" s="299">
        <f t="shared" si="19"/>
        <v>4831</v>
      </c>
      <c r="M17" s="605">
        <v>2900</v>
      </c>
      <c r="N17" s="605">
        <v>2999</v>
      </c>
      <c r="O17" s="610">
        <v>28</v>
      </c>
      <c r="P17" s="610">
        <v>5</v>
      </c>
      <c r="R17" s="497">
        <f t="shared" si="9"/>
        <v>4831</v>
      </c>
      <c r="T17" s="302">
        <f t="shared" si="10"/>
        <v>4831</v>
      </c>
    </row>
    <row r="18" spans="2:20">
      <c r="B18" s="604">
        <f t="shared" si="11"/>
        <v>1914</v>
      </c>
      <c r="C18" s="297">
        <f t="shared" si="0"/>
        <v>24</v>
      </c>
      <c r="D18" s="297">
        <f t="shared" si="12"/>
        <v>5</v>
      </c>
      <c r="E18" s="297">
        <f t="shared" si="13"/>
        <v>14</v>
      </c>
      <c r="F18" s="298">
        <f t="shared" si="14"/>
        <v>2</v>
      </c>
      <c r="G18" s="298">
        <f t="shared" si="15"/>
        <v>3</v>
      </c>
      <c r="H18" s="298">
        <f t="shared" si="16"/>
        <v>20</v>
      </c>
      <c r="I18" s="298">
        <f t="shared" si="17"/>
        <v>1</v>
      </c>
      <c r="J18" s="298">
        <f t="shared" si="18"/>
        <v>21</v>
      </c>
      <c r="K18" s="299">
        <f t="shared" si="19"/>
        <v>5216</v>
      </c>
      <c r="M18" s="605">
        <v>3000</v>
      </c>
      <c r="N18" s="605">
        <v>3099</v>
      </c>
      <c r="O18" s="610">
        <v>28</v>
      </c>
      <c r="P18" s="610">
        <v>6</v>
      </c>
      <c r="R18" s="497">
        <f t="shared" si="9"/>
        <v>5216</v>
      </c>
      <c r="T18" s="302">
        <f t="shared" si="10"/>
        <v>5216</v>
      </c>
    </row>
    <row r="19" spans="2:20">
      <c r="B19" s="604">
        <f t="shared" si="11"/>
        <v>1915</v>
      </c>
      <c r="C19" s="297">
        <f t="shared" si="0"/>
        <v>24</v>
      </c>
      <c r="D19" s="297">
        <f t="shared" si="12"/>
        <v>5</v>
      </c>
      <c r="E19" s="297">
        <f t="shared" si="13"/>
        <v>15</v>
      </c>
      <c r="F19" s="298">
        <f t="shared" si="14"/>
        <v>3</v>
      </c>
      <c r="G19" s="298">
        <f t="shared" si="15"/>
        <v>4</v>
      </c>
      <c r="H19" s="298">
        <f t="shared" si="16"/>
        <v>9</v>
      </c>
      <c r="I19" s="298">
        <f t="shared" si="17"/>
        <v>4</v>
      </c>
      <c r="J19" s="298">
        <f t="shared" si="18"/>
        <v>13</v>
      </c>
      <c r="K19" s="299">
        <f t="shared" si="19"/>
        <v>5573</v>
      </c>
      <c r="M19" s="605">
        <v>3100</v>
      </c>
      <c r="N19" s="605">
        <v>3199</v>
      </c>
      <c r="O19" s="610">
        <v>29</v>
      </c>
      <c r="P19" s="610">
        <v>0</v>
      </c>
      <c r="R19" s="497">
        <f t="shared" si="9"/>
        <v>5573</v>
      </c>
      <c r="T19" s="302">
        <f t="shared" si="10"/>
        <v>5573</v>
      </c>
    </row>
    <row r="20" spans="2:20">
      <c r="B20" s="604">
        <f t="shared" si="11"/>
        <v>1916</v>
      </c>
      <c r="C20" s="297">
        <f t="shared" si="0"/>
        <v>24</v>
      </c>
      <c r="D20" s="297">
        <f t="shared" si="12"/>
        <v>5</v>
      </c>
      <c r="E20" s="297">
        <f t="shared" si="13"/>
        <v>16</v>
      </c>
      <c r="F20" s="298">
        <f t="shared" si="14"/>
        <v>0</v>
      </c>
      <c r="G20" s="298">
        <f t="shared" si="15"/>
        <v>5</v>
      </c>
      <c r="H20" s="298">
        <f t="shared" si="16"/>
        <v>28</v>
      </c>
      <c r="I20" s="298">
        <f t="shared" si="17"/>
        <v>4</v>
      </c>
      <c r="J20" s="298">
        <f t="shared" si="18"/>
        <v>32</v>
      </c>
      <c r="K20" s="299">
        <f t="shared" si="19"/>
        <v>5958</v>
      </c>
      <c r="M20" s="605">
        <v>3200</v>
      </c>
      <c r="N20" s="605">
        <v>3299</v>
      </c>
      <c r="O20" s="610">
        <v>29</v>
      </c>
      <c r="P20" s="610">
        <v>0</v>
      </c>
      <c r="R20" s="497">
        <f t="shared" si="9"/>
        <v>5958</v>
      </c>
      <c r="T20" s="302">
        <f t="shared" si="10"/>
        <v>5958</v>
      </c>
    </row>
    <row r="21" spans="2:20">
      <c r="B21" s="604">
        <f t="shared" si="11"/>
        <v>1917</v>
      </c>
      <c r="C21" s="297">
        <f t="shared" si="0"/>
        <v>24</v>
      </c>
      <c r="D21" s="297">
        <f t="shared" si="12"/>
        <v>5</v>
      </c>
      <c r="E21" s="297">
        <f t="shared" si="13"/>
        <v>17</v>
      </c>
      <c r="F21" s="298">
        <f t="shared" si="14"/>
        <v>1</v>
      </c>
      <c r="G21" s="298">
        <f t="shared" si="15"/>
        <v>6</v>
      </c>
      <c r="H21" s="298">
        <f t="shared" si="16"/>
        <v>17</v>
      </c>
      <c r="I21" s="298">
        <f t="shared" si="17"/>
        <v>0</v>
      </c>
      <c r="J21" s="298">
        <f t="shared" si="18"/>
        <v>17</v>
      </c>
      <c r="K21" s="299">
        <f t="shared" si="19"/>
        <v>6308</v>
      </c>
      <c r="M21" s="605">
        <v>3300</v>
      </c>
      <c r="N21" s="605">
        <v>3399</v>
      </c>
      <c r="O21" s="610">
        <v>29</v>
      </c>
      <c r="P21" s="610">
        <v>1</v>
      </c>
      <c r="R21" s="497">
        <f t="shared" si="9"/>
        <v>6308</v>
      </c>
      <c r="T21" s="302">
        <f t="shared" si="10"/>
        <v>6308</v>
      </c>
    </row>
    <row r="22" spans="2:20">
      <c r="B22" s="604">
        <f t="shared" si="11"/>
        <v>1918</v>
      </c>
      <c r="C22" s="297">
        <f t="shared" si="0"/>
        <v>24</v>
      </c>
      <c r="D22" s="297">
        <f t="shared" si="12"/>
        <v>5</v>
      </c>
      <c r="E22" s="297">
        <f t="shared" si="13"/>
        <v>18</v>
      </c>
      <c r="F22" s="298">
        <f t="shared" si="14"/>
        <v>2</v>
      </c>
      <c r="G22" s="298">
        <f t="shared" si="15"/>
        <v>0</v>
      </c>
      <c r="H22" s="298">
        <f t="shared" si="16"/>
        <v>6</v>
      </c>
      <c r="I22" s="298">
        <f t="shared" si="17"/>
        <v>3</v>
      </c>
      <c r="J22" s="298">
        <f t="shared" si="18"/>
        <v>9</v>
      </c>
      <c r="K22" s="299">
        <f t="shared" si="19"/>
        <v>6665</v>
      </c>
      <c r="M22" s="605">
        <v>3400</v>
      </c>
      <c r="N22" s="605">
        <v>3499</v>
      </c>
      <c r="O22" s="610">
        <v>0</v>
      </c>
      <c r="P22" s="610">
        <v>2</v>
      </c>
      <c r="R22" s="497">
        <f t="shared" si="9"/>
        <v>6665</v>
      </c>
      <c r="T22" s="302">
        <f t="shared" si="10"/>
        <v>6665</v>
      </c>
    </row>
    <row r="23" spans="2:20">
      <c r="B23" s="604">
        <f t="shared" si="11"/>
        <v>1919</v>
      </c>
      <c r="C23" s="297">
        <f t="shared" si="0"/>
        <v>24</v>
      </c>
      <c r="D23" s="297">
        <f t="shared" si="12"/>
        <v>5</v>
      </c>
      <c r="E23" s="297">
        <f t="shared" si="13"/>
        <v>0</v>
      </c>
      <c r="F23" s="298">
        <f t="shared" si="14"/>
        <v>3</v>
      </c>
      <c r="G23" s="298">
        <f t="shared" si="15"/>
        <v>1</v>
      </c>
      <c r="H23" s="298">
        <f t="shared" si="16"/>
        <v>24</v>
      </c>
      <c r="I23" s="298">
        <f t="shared" si="17"/>
        <v>5</v>
      </c>
      <c r="J23" s="298">
        <f t="shared" si="18"/>
        <v>29</v>
      </c>
      <c r="K23" s="299">
        <f t="shared" si="19"/>
        <v>7050</v>
      </c>
      <c r="M23" s="605">
        <v>3500</v>
      </c>
      <c r="N23" s="605">
        <v>3599</v>
      </c>
      <c r="O23" s="610">
        <v>1</v>
      </c>
      <c r="P23" s="610">
        <v>3</v>
      </c>
      <c r="R23" s="497">
        <f t="shared" si="9"/>
        <v>7050</v>
      </c>
      <c r="T23" s="302">
        <f t="shared" si="10"/>
        <v>7050</v>
      </c>
    </row>
    <row r="24" spans="2:20">
      <c r="B24" s="604">
        <f t="shared" si="11"/>
        <v>1920</v>
      </c>
      <c r="C24" s="297">
        <f t="shared" si="0"/>
        <v>24</v>
      </c>
      <c r="D24" s="297">
        <f t="shared" si="12"/>
        <v>5</v>
      </c>
      <c r="E24" s="297">
        <f t="shared" si="13"/>
        <v>1</v>
      </c>
      <c r="F24" s="298">
        <f t="shared" si="14"/>
        <v>0</v>
      </c>
      <c r="G24" s="298">
        <f t="shared" si="15"/>
        <v>2</v>
      </c>
      <c r="H24" s="298">
        <f t="shared" si="16"/>
        <v>13</v>
      </c>
      <c r="I24" s="298">
        <f t="shared" si="17"/>
        <v>0</v>
      </c>
      <c r="J24" s="298">
        <f t="shared" si="18"/>
        <v>13</v>
      </c>
      <c r="K24" s="299">
        <f t="shared" si="19"/>
        <v>7400</v>
      </c>
      <c r="M24" s="605">
        <v>3600</v>
      </c>
      <c r="N24" s="605">
        <v>3699</v>
      </c>
      <c r="O24" s="610">
        <v>0</v>
      </c>
      <c r="P24" s="610">
        <v>3</v>
      </c>
      <c r="R24" s="497">
        <f t="shared" si="9"/>
        <v>7400</v>
      </c>
      <c r="T24" s="302">
        <f t="shared" si="10"/>
        <v>7400</v>
      </c>
    </row>
    <row r="25" spans="2:20">
      <c r="B25" s="604">
        <f t="shared" si="11"/>
        <v>1921</v>
      </c>
      <c r="C25" s="297">
        <f t="shared" si="0"/>
        <v>24</v>
      </c>
      <c r="D25" s="297">
        <f t="shared" si="12"/>
        <v>5</v>
      </c>
      <c r="E25" s="297">
        <f t="shared" si="13"/>
        <v>2</v>
      </c>
      <c r="F25" s="298">
        <f t="shared" si="14"/>
        <v>1</v>
      </c>
      <c r="G25" s="298">
        <f t="shared" si="15"/>
        <v>3</v>
      </c>
      <c r="H25" s="298">
        <f t="shared" si="16"/>
        <v>2</v>
      </c>
      <c r="I25" s="298">
        <f t="shared" si="17"/>
        <v>3</v>
      </c>
      <c r="J25" s="298">
        <f t="shared" si="18"/>
        <v>5</v>
      </c>
      <c r="K25" s="299">
        <f t="shared" si="19"/>
        <v>7757</v>
      </c>
      <c r="M25" s="605">
        <v>3700</v>
      </c>
      <c r="N25" s="605">
        <v>3799</v>
      </c>
      <c r="O25" s="610">
        <v>1</v>
      </c>
      <c r="P25" s="610">
        <v>4</v>
      </c>
      <c r="R25" s="497">
        <f t="shared" si="9"/>
        <v>7757</v>
      </c>
      <c r="T25" s="302">
        <f t="shared" si="10"/>
        <v>7757</v>
      </c>
    </row>
    <row r="26" spans="2:20">
      <c r="B26" s="604">
        <f t="shared" si="11"/>
        <v>1922</v>
      </c>
      <c r="C26" s="297">
        <f t="shared" si="0"/>
        <v>24</v>
      </c>
      <c r="D26" s="297">
        <f t="shared" si="12"/>
        <v>5</v>
      </c>
      <c r="E26" s="297">
        <f t="shared" si="13"/>
        <v>3</v>
      </c>
      <c r="F26" s="298">
        <f t="shared" si="14"/>
        <v>2</v>
      </c>
      <c r="G26" s="298">
        <f t="shared" si="15"/>
        <v>4</v>
      </c>
      <c r="H26" s="298">
        <f t="shared" si="16"/>
        <v>21</v>
      </c>
      <c r="I26" s="298">
        <f t="shared" si="17"/>
        <v>4</v>
      </c>
      <c r="J26" s="298">
        <f t="shared" si="18"/>
        <v>25</v>
      </c>
      <c r="K26" s="299">
        <f t="shared" si="19"/>
        <v>8142</v>
      </c>
      <c r="M26" s="605">
        <v>3800</v>
      </c>
      <c r="N26" s="605">
        <v>3899</v>
      </c>
      <c r="O26" s="610">
        <v>2</v>
      </c>
      <c r="P26" s="610">
        <v>5</v>
      </c>
      <c r="R26" s="497">
        <f t="shared" si="9"/>
        <v>8142</v>
      </c>
      <c r="T26" s="302">
        <f t="shared" si="10"/>
        <v>8142</v>
      </c>
    </row>
    <row r="27" spans="2:20">
      <c r="B27" s="604">
        <f t="shared" si="11"/>
        <v>1923</v>
      </c>
      <c r="C27" s="297">
        <f t="shared" si="0"/>
        <v>24</v>
      </c>
      <c r="D27" s="297">
        <f t="shared" si="12"/>
        <v>5</v>
      </c>
      <c r="E27" s="297">
        <f t="shared" si="13"/>
        <v>4</v>
      </c>
      <c r="F27" s="298">
        <f t="shared" si="14"/>
        <v>3</v>
      </c>
      <c r="G27" s="298">
        <f t="shared" si="15"/>
        <v>5</v>
      </c>
      <c r="H27" s="298">
        <f t="shared" si="16"/>
        <v>10</v>
      </c>
      <c r="I27" s="298">
        <f t="shared" si="17"/>
        <v>0</v>
      </c>
      <c r="J27" s="298">
        <f t="shared" si="18"/>
        <v>10</v>
      </c>
      <c r="K27" s="299">
        <f t="shared" si="19"/>
        <v>8492</v>
      </c>
      <c r="M27" s="605">
        <v>3900</v>
      </c>
      <c r="N27" s="605">
        <v>4099</v>
      </c>
      <c r="O27" s="610">
        <v>2</v>
      </c>
      <c r="P27" s="610">
        <v>6</v>
      </c>
      <c r="R27" s="497">
        <f t="shared" si="9"/>
        <v>8492</v>
      </c>
      <c r="T27" s="302">
        <f t="shared" si="10"/>
        <v>8492</v>
      </c>
    </row>
    <row r="28" spans="2:20" ht="14.4">
      <c r="B28" s="604">
        <f t="shared" si="11"/>
        <v>1924</v>
      </c>
      <c r="C28" s="297">
        <f t="shared" si="0"/>
        <v>24</v>
      </c>
      <c r="D28" s="297">
        <f t="shared" si="12"/>
        <v>5</v>
      </c>
      <c r="E28" s="297">
        <f t="shared" si="13"/>
        <v>5</v>
      </c>
      <c r="F28" s="298">
        <f t="shared" si="14"/>
        <v>0</v>
      </c>
      <c r="G28" s="298">
        <f t="shared" si="15"/>
        <v>6</v>
      </c>
      <c r="H28" s="298">
        <f t="shared" si="16"/>
        <v>29</v>
      </c>
      <c r="I28" s="298">
        <f t="shared" si="17"/>
        <v>0</v>
      </c>
      <c r="J28" s="298">
        <f t="shared" si="18"/>
        <v>29</v>
      </c>
      <c r="K28" s="299">
        <f t="shared" si="19"/>
        <v>8877</v>
      </c>
      <c r="M28" s="607">
        <v>4100</v>
      </c>
      <c r="N28" s="607">
        <v>4199</v>
      </c>
      <c r="O28" s="611">
        <v>0</v>
      </c>
      <c r="P28" s="611">
        <v>6</v>
      </c>
      <c r="R28" s="497">
        <f t="shared" si="9"/>
        <v>8877</v>
      </c>
      <c r="T28" s="302">
        <f t="shared" si="10"/>
        <v>8877</v>
      </c>
    </row>
    <row r="29" spans="2:20" ht="14.4">
      <c r="B29" s="604">
        <f t="shared" si="11"/>
        <v>1925</v>
      </c>
      <c r="C29" s="297">
        <f t="shared" si="0"/>
        <v>24</v>
      </c>
      <c r="D29" s="297">
        <f t="shared" si="12"/>
        <v>5</v>
      </c>
      <c r="E29" s="297">
        <f t="shared" si="13"/>
        <v>6</v>
      </c>
      <c r="F29" s="298">
        <f t="shared" si="14"/>
        <v>1</v>
      </c>
      <c r="G29" s="298">
        <f t="shared" si="15"/>
        <v>0</v>
      </c>
      <c r="H29" s="298">
        <f t="shared" si="16"/>
        <v>18</v>
      </c>
      <c r="I29" s="298">
        <f t="shared" si="17"/>
        <v>3</v>
      </c>
      <c r="J29" s="298">
        <f t="shared" si="18"/>
        <v>21</v>
      </c>
      <c r="K29" s="299">
        <f t="shared" si="19"/>
        <v>9234</v>
      </c>
      <c r="M29" s="607">
        <v>4200</v>
      </c>
      <c r="N29" s="607">
        <v>4299</v>
      </c>
      <c r="O29" s="611">
        <v>4</v>
      </c>
      <c r="P29" s="611">
        <v>1</v>
      </c>
      <c r="R29" s="497">
        <f t="shared" si="9"/>
        <v>9234</v>
      </c>
      <c r="T29" s="302">
        <f t="shared" si="10"/>
        <v>9234</v>
      </c>
    </row>
    <row r="30" spans="2:20" ht="14.4">
      <c r="B30" s="604">
        <f t="shared" si="11"/>
        <v>1926</v>
      </c>
      <c r="C30" s="297">
        <f t="shared" si="0"/>
        <v>24</v>
      </c>
      <c r="D30" s="297">
        <f t="shared" si="12"/>
        <v>5</v>
      </c>
      <c r="E30" s="297">
        <f t="shared" si="13"/>
        <v>7</v>
      </c>
      <c r="F30" s="298">
        <f t="shared" si="14"/>
        <v>2</v>
      </c>
      <c r="G30" s="298">
        <f t="shared" si="15"/>
        <v>1</v>
      </c>
      <c r="H30" s="298">
        <f t="shared" si="16"/>
        <v>7</v>
      </c>
      <c r="I30" s="298">
        <f t="shared" si="17"/>
        <v>6</v>
      </c>
      <c r="J30" s="298">
        <f t="shared" si="18"/>
        <v>13</v>
      </c>
      <c r="K30" s="299">
        <f t="shared" si="19"/>
        <v>9591</v>
      </c>
      <c r="M30" s="607">
        <v>4300</v>
      </c>
      <c r="N30" s="607">
        <v>4399</v>
      </c>
      <c r="O30" s="611">
        <v>4</v>
      </c>
      <c r="P30" s="611">
        <v>2</v>
      </c>
      <c r="R30" s="497">
        <f t="shared" si="9"/>
        <v>9591</v>
      </c>
      <c r="T30" s="302">
        <f t="shared" si="10"/>
        <v>9591</v>
      </c>
    </row>
    <row r="31" spans="2:20" ht="14.4">
      <c r="B31" s="604">
        <f t="shared" si="11"/>
        <v>1927</v>
      </c>
      <c r="C31" s="297">
        <f t="shared" si="0"/>
        <v>24</v>
      </c>
      <c r="D31" s="297">
        <f t="shared" si="12"/>
        <v>5</v>
      </c>
      <c r="E31" s="297">
        <f t="shared" si="13"/>
        <v>8</v>
      </c>
      <c r="F31" s="298">
        <f t="shared" si="14"/>
        <v>3</v>
      </c>
      <c r="G31" s="298">
        <f t="shared" si="15"/>
        <v>2</v>
      </c>
      <c r="H31" s="298">
        <f t="shared" si="16"/>
        <v>26</v>
      </c>
      <c r="I31" s="298">
        <f t="shared" si="17"/>
        <v>0</v>
      </c>
      <c r="J31" s="298">
        <f t="shared" si="18"/>
        <v>26</v>
      </c>
      <c r="K31" s="299">
        <f t="shared" si="19"/>
        <v>9969</v>
      </c>
      <c r="M31" s="607">
        <v>4400</v>
      </c>
      <c r="N31" s="607">
        <v>4499</v>
      </c>
      <c r="O31" s="611">
        <v>4</v>
      </c>
      <c r="P31" s="611">
        <v>2</v>
      </c>
      <c r="R31" s="497">
        <f t="shared" si="9"/>
        <v>9969</v>
      </c>
      <c r="T31" s="302">
        <f t="shared" si="10"/>
        <v>9969</v>
      </c>
    </row>
    <row r="32" spans="2:20" ht="14.4">
      <c r="B32" s="604">
        <f t="shared" si="11"/>
        <v>1928</v>
      </c>
      <c r="C32" s="297">
        <f t="shared" si="0"/>
        <v>24</v>
      </c>
      <c r="D32" s="297">
        <f t="shared" si="12"/>
        <v>5</v>
      </c>
      <c r="E32" s="297">
        <f t="shared" si="13"/>
        <v>9</v>
      </c>
      <c r="F32" s="298">
        <f t="shared" si="14"/>
        <v>0</v>
      </c>
      <c r="G32" s="298">
        <f t="shared" si="15"/>
        <v>3</v>
      </c>
      <c r="H32" s="298">
        <f t="shared" si="16"/>
        <v>15</v>
      </c>
      <c r="I32" s="298">
        <f t="shared" si="17"/>
        <v>2</v>
      </c>
      <c r="J32" s="298">
        <f t="shared" si="18"/>
        <v>17</v>
      </c>
      <c r="K32" s="299">
        <f t="shared" si="19"/>
        <v>10326</v>
      </c>
      <c r="M32" s="607">
        <v>4500</v>
      </c>
      <c r="N32" s="607">
        <v>4599</v>
      </c>
      <c r="O32" s="611">
        <v>5</v>
      </c>
      <c r="P32" s="611">
        <v>3</v>
      </c>
      <c r="R32" s="497">
        <f t="shared" si="9"/>
        <v>10326</v>
      </c>
      <c r="T32" s="302">
        <f t="shared" si="10"/>
        <v>10326</v>
      </c>
    </row>
    <row r="33" spans="2:20" ht="14.4">
      <c r="B33" s="604">
        <f t="shared" si="11"/>
        <v>1929</v>
      </c>
      <c r="C33" s="297">
        <f t="shared" si="0"/>
        <v>24</v>
      </c>
      <c r="D33" s="297">
        <f t="shared" si="12"/>
        <v>5</v>
      </c>
      <c r="E33" s="297">
        <f t="shared" si="13"/>
        <v>10</v>
      </c>
      <c r="F33" s="298">
        <f t="shared" si="14"/>
        <v>1</v>
      </c>
      <c r="G33" s="298">
        <f t="shared" si="15"/>
        <v>4</v>
      </c>
      <c r="H33" s="298">
        <f t="shared" si="16"/>
        <v>4</v>
      </c>
      <c r="I33" s="298">
        <f t="shared" si="17"/>
        <v>5</v>
      </c>
      <c r="J33" s="298">
        <f t="shared" si="18"/>
        <v>9</v>
      </c>
      <c r="K33" s="299">
        <f t="shared" si="19"/>
        <v>10683</v>
      </c>
      <c r="M33" s="607">
        <v>4600</v>
      </c>
      <c r="N33" s="607">
        <v>4699</v>
      </c>
      <c r="O33" s="611">
        <v>5</v>
      </c>
      <c r="P33" s="611">
        <v>4</v>
      </c>
      <c r="R33" s="497">
        <f t="shared" si="9"/>
        <v>10683</v>
      </c>
      <c r="T33" s="302">
        <f t="shared" si="10"/>
        <v>10683</v>
      </c>
    </row>
    <row r="34" spans="2:20" ht="14.4">
      <c r="B34" s="604">
        <f t="shared" si="11"/>
        <v>1930</v>
      </c>
      <c r="C34" s="297">
        <f t="shared" si="0"/>
        <v>24</v>
      </c>
      <c r="D34" s="297">
        <f t="shared" si="12"/>
        <v>5</v>
      </c>
      <c r="E34" s="297">
        <f t="shared" si="13"/>
        <v>11</v>
      </c>
      <c r="F34" s="298">
        <f t="shared" si="14"/>
        <v>2</v>
      </c>
      <c r="G34" s="298">
        <f t="shared" si="15"/>
        <v>5</v>
      </c>
      <c r="H34" s="298">
        <f t="shared" si="16"/>
        <v>23</v>
      </c>
      <c r="I34" s="298">
        <f t="shared" si="17"/>
        <v>6</v>
      </c>
      <c r="J34" s="298">
        <f t="shared" si="18"/>
        <v>29</v>
      </c>
      <c r="K34" s="299">
        <f t="shared" si="19"/>
        <v>11068</v>
      </c>
      <c r="M34" s="607">
        <v>4700</v>
      </c>
      <c r="N34" s="607">
        <v>4799</v>
      </c>
      <c r="O34" s="611">
        <v>6</v>
      </c>
      <c r="P34" s="611">
        <v>5</v>
      </c>
      <c r="R34" s="497">
        <f t="shared" si="9"/>
        <v>11068</v>
      </c>
      <c r="T34" s="302">
        <f t="shared" si="10"/>
        <v>11068</v>
      </c>
    </row>
    <row r="35" spans="2:20" ht="14.4">
      <c r="B35" s="604">
        <f t="shared" si="11"/>
        <v>1931</v>
      </c>
      <c r="C35" s="297">
        <f t="shared" si="0"/>
        <v>24</v>
      </c>
      <c r="D35" s="297">
        <f t="shared" si="12"/>
        <v>5</v>
      </c>
      <c r="E35" s="297">
        <f t="shared" si="13"/>
        <v>12</v>
      </c>
      <c r="F35" s="298">
        <f t="shared" si="14"/>
        <v>3</v>
      </c>
      <c r="G35" s="298">
        <f t="shared" si="15"/>
        <v>6</v>
      </c>
      <c r="H35" s="298">
        <f t="shared" si="16"/>
        <v>12</v>
      </c>
      <c r="I35" s="298">
        <f t="shared" si="17"/>
        <v>2</v>
      </c>
      <c r="J35" s="298">
        <f t="shared" si="18"/>
        <v>14</v>
      </c>
      <c r="K35" s="299">
        <f t="shared" si="19"/>
        <v>11418</v>
      </c>
      <c r="M35" s="607">
        <v>4800</v>
      </c>
      <c r="N35" s="607">
        <v>4899</v>
      </c>
      <c r="O35" s="611">
        <v>6</v>
      </c>
      <c r="P35" s="611">
        <v>5</v>
      </c>
      <c r="R35" s="497">
        <f t="shared" si="9"/>
        <v>11418</v>
      </c>
      <c r="T35" s="302">
        <f t="shared" si="10"/>
        <v>11418</v>
      </c>
    </row>
    <row r="36" spans="2:20" ht="14.4">
      <c r="B36" s="604">
        <f t="shared" si="11"/>
        <v>1932</v>
      </c>
      <c r="C36" s="297">
        <f t="shared" si="0"/>
        <v>24</v>
      </c>
      <c r="D36" s="297">
        <f t="shared" si="12"/>
        <v>5</v>
      </c>
      <c r="E36" s="297">
        <f t="shared" si="13"/>
        <v>13</v>
      </c>
      <c r="F36" s="298">
        <f t="shared" si="14"/>
        <v>0</v>
      </c>
      <c r="G36" s="298">
        <f t="shared" si="15"/>
        <v>0</v>
      </c>
      <c r="H36" s="298">
        <f t="shared" si="16"/>
        <v>1</v>
      </c>
      <c r="I36" s="298">
        <f t="shared" si="17"/>
        <v>4</v>
      </c>
      <c r="J36" s="298">
        <f t="shared" si="18"/>
        <v>5</v>
      </c>
      <c r="K36" s="299">
        <f t="shared" si="19"/>
        <v>11775</v>
      </c>
      <c r="M36" s="607">
        <v>4900</v>
      </c>
      <c r="N36" s="607">
        <v>4999</v>
      </c>
      <c r="O36" s="611">
        <v>6</v>
      </c>
      <c r="P36" s="611">
        <v>6</v>
      </c>
      <c r="R36" s="497">
        <f t="shared" si="9"/>
        <v>11775</v>
      </c>
      <c r="T36" s="302">
        <f t="shared" si="10"/>
        <v>11775</v>
      </c>
    </row>
    <row r="37" spans="2:20" ht="14.4">
      <c r="B37" s="604">
        <f t="shared" si="11"/>
        <v>1933</v>
      </c>
      <c r="C37" s="297">
        <f t="shared" si="0"/>
        <v>24</v>
      </c>
      <c r="D37" s="297">
        <f t="shared" si="12"/>
        <v>5</v>
      </c>
      <c r="E37" s="297">
        <f t="shared" si="13"/>
        <v>14</v>
      </c>
      <c r="F37" s="298">
        <f t="shared" si="14"/>
        <v>1</v>
      </c>
      <c r="G37" s="298">
        <f t="shared" si="15"/>
        <v>1</v>
      </c>
      <c r="H37" s="298">
        <f t="shared" si="16"/>
        <v>20</v>
      </c>
      <c r="I37" s="298">
        <f t="shared" si="17"/>
        <v>5</v>
      </c>
      <c r="J37" s="298">
        <f t="shared" si="18"/>
        <v>25</v>
      </c>
      <c r="K37" s="299">
        <f t="shared" si="19"/>
        <v>12160</v>
      </c>
      <c r="M37" s="607">
        <v>5000</v>
      </c>
      <c r="N37" s="607">
        <v>5099</v>
      </c>
      <c r="O37" s="611">
        <v>7</v>
      </c>
      <c r="P37" s="611">
        <v>0</v>
      </c>
      <c r="R37" s="497">
        <f t="shared" si="9"/>
        <v>12160</v>
      </c>
      <c r="T37" s="302">
        <f t="shared" si="10"/>
        <v>12160</v>
      </c>
    </row>
    <row r="38" spans="2:20" ht="14.4">
      <c r="B38" s="604">
        <f t="shared" si="11"/>
        <v>1934</v>
      </c>
      <c r="C38" s="297">
        <f t="shared" si="0"/>
        <v>24</v>
      </c>
      <c r="D38" s="297">
        <f t="shared" si="12"/>
        <v>5</v>
      </c>
      <c r="E38" s="297">
        <f t="shared" si="13"/>
        <v>15</v>
      </c>
      <c r="F38" s="298">
        <f t="shared" si="14"/>
        <v>2</v>
      </c>
      <c r="G38" s="298">
        <f t="shared" si="15"/>
        <v>2</v>
      </c>
      <c r="H38" s="298">
        <f t="shared" si="16"/>
        <v>9</v>
      </c>
      <c r="I38" s="298">
        <f t="shared" si="17"/>
        <v>1</v>
      </c>
      <c r="J38" s="298">
        <f t="shared" si="18"/>
        <v>10</v>
      </c>
      <c r="K38" s="299">
        <f t="shared" si="19"/>
        <v>12510</v>
      </c>
      <c r="M38" s="607">
        <v>5100</v>
      </c>
      <c r="N38" s="607">
        <v>5199</v>
      </c>
      <c r="O38" s="611">
        <v>8</v>
      </c>
      <c r="P38" s="611">
        <v>1</v>
      </c>
      <c r="R38" s="497">
        <f t="shared" si="9"/>
        <v>12510</v>
      </c>
      <c r="T38" s="302">
        <f t="shared" si="10"/>
        <v>12510</v>
      </c>
    </row>
    <row r="39" spans="2:20" ht="14.4">
      <c r="B39" s="604">
        <f t="shared" si="11"/>
        <v>1935</v>
      </c>
      <c r="C39" s="297">
        <f t="shared" si="0"/>
        <v>24</v>
      </c>
      <c r="D39" s="297">
        <f t="shared" si="12"/>
        <v>5</v>
      </c>
      <c r="E39" s="297">
        <f t="shared" si="13"/>
        <v>16</v>
      </c>
      <c r="F39" s="298">
        <f t="shared" si="14"/>
        <v>3</v>
      </c>
      <c r="G39" s="298">
        <f t="shared" si="15"/>
        <v>3</v>
      </c>
      <c r="H39" s="298">
        <f t="shared" si="16"/>
        <v>28</v>
      </c>
      <c r="I39" s="298">
        <f t="shared" si="17"/>
        <v>2</v>
      </c>
      <c r="J39" s="298">
        <f t="shared" si="18"/>
        <v>30</v>
      </c>
      <c r="K39" s="299">
        <f t="shared" si="19"/>
        <v>12895</v>
      </c>
      <c r="M39" s="607">
        <v>5200</v>
      </c>
      <c r="N39" s="607">
        <v>5299</v>
      </c>
      <c r="O39" s="611">
        <v>7</v>
      </c>
      <c r="P39" s="611">
        <v>1</v>
      </c>
      <c r="R39" s="497">
        <f t="shared" si="9"/>
        <v>12895</v>
      </c>
      <c r="T39" s="302">
        <f t="shared" si="10"/>
        <v>12895</v>
      </c>
    </row>
    <row r="40" spans="2:20" ht="14.4">
      <c r="B40" s="604">
        <f t="shared" si="11"/>
        <v>1936</v>
      </c>
      <c r="C40" s="297">
        <f t="shared" si="0"/>
        <v>24</v>
      </c>
      <c r="D40" s="297">
        <f t="shared" si="12"/>
        <v>5</v>
      </c>
      <c r="E40" s="297">
        <f t="shared" si="13"/>
        <v>17</v>
      </c>
      <c r="F40" s="298">
        <f t="shared" si="14"/>
        <v>0</v>
      </c>
      <c r="G40" s="298">
        <f t="shared" si="15"/>
        <v>4</v>
      </c>
      <c r="H40" s="298">
        <f t="shared" si="16"/>
        <v>17</v>
      </c>
      <c r="I40" s="298">
        <f t="shared" si="17"/>
        <v>4</v>
      </c>
      <c r="J40" s="298">
        <f t="shared" si="18"/>
        <v>21</v>
      </c>
      <c r="K40" s="299">
        <f t="shared" si="19"/>
        <v>13252</v>
      </c>
      <c r="M40" s="607">
        <v>5300</v>
      </c>
      <c r="N40" s="607">
        <v>5399</v>
      </c>
      <c r="O40" s="611">
        <v>8</v>
      </c>
      <c r="P40" s="611">
        <v>2</v>
      </c>
      <c r="R40" s="497">
        <f t="shared" si="9"/>
        <v>13252</v>
      </c>
      <c r="T40" s="302">
        <f t="shared" si="10"/>
        <v>13252</v>
      </c>
    </row>
    <row r="41" spans="2:20" ht="14.4">
      <c r="B41" s="604">
        <f t="shared" si="11"/>
        <v>1937</v>
      </c>
      <c r="C41" s="297">
        <f t="shared" si="0"/>
        <v>24</v>
      </c>
      <c r="D41" s="297">
        <f t="shared" si="12"/>
        <v>5</v>
      </c>
      <c r="E41" s="297">
        <f t="shared" si="13"/>
        <v>18</v>
      </c>
      <c r="F41" s="298">
        <f t="shared" si="14"/>
        <v>1</v>
      </c>
      <c r="G41" s="298">
        <f t="shared" si="15"/>
        <v>5</v>
      </c>
      <c r="H41" s="298">
        <f t="shared" si="16"/>
        <v>6</v>
      </c>
      <c r="I41" s="298">
        <f t="shared" si="17"/>
        <v>0</v>
      </c>
      <c r="J41" s="298">
        <f t="shared" si="18"/>
        <v>6</v>
      </c>
      <c r="K41" s="299">
        <f t="shared" si="19"/>
        <v>13602</v>
      </c>
      <c r="M41" s="607">
        <v>5400</v>
      </c>
      <c r="N41" s="607">
        <v>5499</v>
      </c>
      <c r="O41" s="611">
        <v>9</v>
      </c>
      <c r="P41" s="611">
        <v>3</v>
      </c>
      <c r="R41" s="497">
        <f t="shared" si="9"/>
        <v>13602</v>
      </c>
      <c r="T41" s="302">
        <f t="shared" si="10"/>
        <v>13602</v>
      </c>
    </row>
    <row r="42" spans="2:20" ht="14.4">
      <c r="B42" s="604">
        <f t="shared" si="11"/>
        <v>1938</v>
      </c>
      <c r="C42" s="297">
        <f t="shared" si="0"/>
        <v>24</v>
      </c>
      <c r="D42" s="297">
        <f t="shared" si="12"/>
        <v>5</v>
      </c>
      <c r="E42" s="297">
        <f t="shared" si="13"/>
        <v>0</v>
      </c>
      <c r="F42" s="298">
        <f t="shared" si="14"/>
        <v>2</v>
      </c>
      <c r="G42" s="298">
        <f t="shared" si="15"/>
        <v>6</v>
      </c>
      <c r="H42" s="298">
        <f t="shared" si="16"/>
        <v>24</v>
      </c>
      <c r="I42" s="298">
        <f t="shared" si="17"/>
        <v>2</v>
      </c>
      <c r="J42" s="298">
        <f t="shared" si="18"/>
        <v>26</v>
      </c>
      <c r="K42" s="299">
        <f t="shared" si="19"/>
        <v>13987</v>
      </c>
      <c r="M42" s="607">
        <v>5500</v>
      </c>
      <c r="N42" s="607">
        <v>5599</v>
      </c>
      <c r="O42" s="611">
        <v>9</v>
      </c>
      <c r="P42" s="611">
        <v>4</v>
      </c>
      <c r="R42" s="497">
        <f t="shared" si="9"/>
        <v>13987</v>
      </c>
      <c r="T42" s="302">
        <f t="shared" si="10"/>
        <v>13987</v>
      </c>
    </row>
    <row r="43" spans="2:20" ht="14.4">
      <c r="B43" s="604">
        <f t="shared" si="11"/>
        <v>1939</v>
      </c>
      <c r="C43" s="297">
        <f t="shared" si="0"/>
        <v>24</v>
      </c>
      <c r="D43" s="297">
        <f t="shared" si="12"/>
        <v>5</v>
      </c>
      <c r="E43" s="297">
        <f t="shared" si="13"/>
        <v>1</v>
      </c>
      <c r="F43" s="298">
        <f t="shared" si="14"/>
        <v>3</v>
      </c>
      <c r="G43" s="298">
        <f t="shared" si="15"/>
        <v>0</v>
      </c>
      <c r="H43" s="298">
        <f t="shared" si="16"/>
        <v>13</v>
      </c>
      <c r="I43" s="298">
        <f t="shared" si="17"/>
        <v>5</v>
      </c>
      <c r="J43" s="298">
        <f t="shared" si="18"/>
        <v>18</v>
      </c>
      <c r="K43" s="299">
        <f t="shared" si="19"/>
        <v>14344</v>
      </c>
      <c r="M43" s="607">
        <v>5600</v>
      </c>
      <c r="N43" s="607">
        <v>5699</v>
      </c>
      <c r="O43" s="611">
        <v>9</v>
      </c>
      <c r="P43" s="611">
        <v>4</v>
      </c>
      <c r="R43" s="497">
        <f t="shared" si="9"/>
        <v>14344</v>
      </c>
      <c r="T43" s="302">
        <f t="shared" si="10"/>
        <v>14344</v>
      </c>
    </row>
    <row r="44" spans="2:20" ht="14.4">
      <c r="B44" s="604">
        <f t="shared" si="11"/>
        <v>1940</v>
      </c>
      <c r="C44" s="297">
        <f t="shared" si="0"/>
        <v>24</v>
      </c>
      <c r="D44" s="297">
        <f t="shared" si="12"/>
        <v>5</v>
      </c>
      <c r="E44" s="297">
        <f t="shared" si="13"/>
        <v>2</v>
      </c>
      <c r="F44" s="298">
        <f t="shared" si="14"/>
        <v>0</v>
      </c>
      <c r="G44" s="298">
        <f t="shared" si="15"/>
        <v>1</v>
      </c>
      <c r="H44" s="298">
        <f t="shared" si="16"/>
        <v>2</v>
      </c>
      <c r="I44" s="298">
        <f t="shared" si="17"/>
        <v>0</v>
      </c>
      <c r="J44" s="298">
        <f t="shared" si="18"/>
        <v>2</v>
      </c>
      <c r="K44" s="299">
        <f t="shared" si="19"/>
        <v>14694</v>
      </c>
      <c r="M44" s="607">
        <v>5700</v>
      </c>
      <c r="N44" s="607">
        <v>5799</v>
      </c>
      <c r="O44" s="611">
        <v>10</v>
      </c>
      <c r="P44" s="611">
        <v>5</v>
      </c>
      <c r="R44" s="497">
        <f t="shared" si="9"/>
        <v>14694</v>
      </c>
      <c r="T44" s="302">
        <f t="shared" si="10"/>
        <v>14694</v>
      </c>
    </row>
    <row r="45" spans="2:20" ht="14.4">
      <c r="B45" s="604">
        <f t="shared" si="11"/>
        <v>1941</v>
      </c>
      <c r="C45" s="297">
        <f t="shared" si="0"/>
        <v>24</v>
      </c>
      <c r="D45" s="297">
        <f t="shared" si="12"/>
        <v>5</v>
      </c>
      <c r="E45" s="297">
        <f t="shared" si="13"/>
        <v>3</v>
      </c>
      <c r="F45" s="298">
        <f t="shared" si="14"/>
        <v>1</v>
      </c>
      <c r="G45" s="298">
        <f t="shared" si="15"/>
        <v>2</v>
      </c>
      <c r="H45" s="298">
        <f t="shared" si="16"/>
        <v>21</v>
      </c>
      <c r="I45" s="298">
        <f t="shared" si="17"/>
        <v>1</v>
      </c>
      <c r="J45" s="298">
        <f t="shared" si="18"/>
        <v>22</v>
      </c>
      <c r="K45" s="299">
        <f t="shared" si="19"/>
        <v>15079</v>
      </c>
      <c r="M45" s="607">
        <v>5800</v>
      </c>
      <c r="N45" s="607">
        <v>5899</v>
      </c>
      <c r="O45" s="611">
        <v>10</v>
      </c>
      <c r="P45" s="611">
        <v>6</v>
      </c>
      <c r="R45" s="497">
        <f t="shared" si="9"/>
        <v>15079</v>
      </c>
      <c r="T45" s="302">
        <f t="shared" si="10"/>
        <v>15079</v>
      </c>
    </row>
    <row r="46" spans="2:20" ht="14.4">
      <c r="B46" s="604">
        <f t="shared" si="11"/>
        <v>1942</v>
      </c>
      <c r="C46" s="297">
        <f t="shared" si="0"/>
        <v>24</v>
      </c>
      <c r="D46" s="297">
        <f t="shared" si="12"/>
        <v>5</v>
      </c>
      <c r="E46" s="297">
        <f t="shared" si="13"/>
        <v>4</v>
      </c>
      <c r="F46" s="298">
        <f t="shared" si="14"/>
        <v>2</v>
      </c>
      <c r="G46" s="298">
        <f t="shared" si="15"/>
        <v>3</v>
      </c>
      <c r="H46" s="298">
        <f t="shared" si="16"/>
        <v>10</v>
      </c>
      <c r="I46" s="298">
        <f t="shared" si="17"/>
        <v>4</v>
      </c>
      <c r="J46" s="298">
        <f t="shared" si="18"/>
        <v>14</v>
      </c>
      <c r="K46" s="299">
        <f t="shared" si="19"/>
        <v>15436</v>
      </c>
      <c r="M46" s="607">
        <v>5900</v>
      </c>
      <c r="N46" s="607">
        <v>5999</v>
      </c>
      <c r="O46" s="611">
        <v>11</v>
      </c>
      <c r="P46" s="611">
        <v>0</v>
      </c>
      <c r="R46" s="497">
        <f t="shared" si="9"/>
        <v>15436</v>
      </c>
      <c r="T46" s="302">
        <f t="shared" si="10"/>
        <v>15436</v>
      </c>
    </row>
    <row r="47" spans="2:20" ht="14.4">
      <c r="B47" s="604">
        <f t="shared" si="11"/>
        <v>1943</v>
      </c>
      <c r="C47" s="297">
        <f t="shared" si="0"/>
        <v>24</v>
      </c>
      <c r="D47" s="297">
        <f t="shared" si="12"/>
        <v>5</v>
      </c>
      <c r="E47" s="297">
        <f t="shared" si="13"/>
        <v>5</v>
      </c>
      <c r="F47" s="298">
        <f t="shared" si="14"/>
        <v>3</v>
      </c>
      <c r="G47" s="298">
        <f t="shared" si="15"/>
        <v>4</v>
      </c>
      <c r="H47" s="298">
        <f t="shared" si="16"/>
        <v>29</v>
      </c>
      <c r="I47" s="298">
        <f t="shared" si="17"/>
        <v>5</v>
      </c>
      <c r="J47" s="298">
        <f t="shared" si="18"/>
        <v>34</v>
      </c>
      <c r="K47" s="299">
        <f t="shared" si="19"/>
        <v>15821</v>
      </c>
      <c r="M47" s="607">
        <v>6000</v>
      </c>
      <c r="N47" s="607">
        <v>6099</v>
      </c>
      <c r="O47" s="611">
        <v>11</v>
      </c>
      <c r="P47" s="611">
        <v>0</v>
      </c>
      <c r="R47" s="497">
        <f t="shared" si="9"/>
        <v>15821</v>
      </c>
      <c r="T47" s="302">
        <f t="shared" si="10"/>
        <v>15821</v>
      </c>
    </row>
    <row r="48" spans="2:20" ht="14.4">
      <c r="B48" s="604">
        <f t="shared" si="11"/>
        <v>1944</v>
      </c>
      <c r="C48" s="297">
        <f t="shared" si="0"/>
        <v>24</v>
      </c>
      <c r="D48" s="297">
        <f t="shared" si="12"/>
        <v>5</v>
      </c>
      <c r="E48" s="297">
        <f t="shared" si="13"/>
        <v>6</v>
      </c>
      <c r="F48" s="298">
        <f t="shared" si="14"/>
        <v>0</v>
      </c>
      <c r="G48" s="298">
        <f t="shared" si="15"/>
        <v>5</v>
      </c>
      <c r="H48" s="298">
        <f t="shared" si="16"/>
        <v>18</v>
      </c>
      <c r="I48" s="298">
        <f t="shared" si="17"/>
        <v>0</v>
      </c>
      <c r="J48" s="298">
        <f t="shared" si="18"/>
        <v>18</v>
      </c>
      <c r="K48" s="299">
        <f t="shared" si="19"/>
        <v>16171</v>
      </c>
      <c r="M48" s="607">
        <v>6100</v>
      </c>
      <c r="N48" s="607">
        <v>6199</v>
      </c>
      <c r="O48" s="611">
        <v>11</v>
      </c>
      <c r="P48" s="611">
        <v>1</v>
      </c>
      <c r="R48" s="497">
        <f t="shared" si="9"/>
        <v>16171</v>
      </c>
      <c r="T48" s="302">
        <f t="shared" si="10"/>
        <v>16171</v>
      </c>
    </row>
    <row r="49" spans="2:20" ht="14.4">
      <c r="B49" s="604">
        <f t="shared" si="11"/>
        <v>1945</v>
      </c>
      <c r="C49" s="297">
        <f t="shared" si="0"/>
        <v>24</v>
      </c>
      <c r="D49" s="297">
        <f t="shared" si="12"/>
        <v>5</v>
      </c>
      <c r="E49" s="297">
        <f t="shared" si="13"/>
        <v>7</v>
      </c>
      <c r="F49" s="298">
        <f t="shared" si="14"/>
        <v>1</v>
      </c>
      <c r="G49" s="298">
        <f t="shared" si="15"/>
        <v>6</v>
      </c>
      <c r="H49" s="298">
        <f t="shared" si="16"/>
        <v>7</v>
      </c>
      <c r="I49" s="298">
        <f t="shared" si="17"/>
        <v>3</v>
      </c>
      <c r="J49" s="298">
        <f t="shared" si="18"/>
        <v>10</v>
      </c>
      <c r="K49" s="299">
        <f t="shared" si="19"/>
        <v>16528</v>
      </c>
      <c r="M49" s="607">
        <v>6200</v>
      </c>
      <c r="N49" s="607">
        <v>6299</v>
      </c>
      <c r="O49" s="611">
        <v>12</v>
      </c>
      <c r="P49" s="611">
        <v>2</v>
      </c>
      <c r="R49" s="497">
        <f t="shared" si="9"/>
        <v>16528</v>
      </c>
      <c r="T49" s="302">
        <f t="shared" si="10"/>
        <v>16528</v>
      </c>
    </row>
    <row r="50" spans="2:20" ht="14.4">
      <c r="B50" s="604">
        <f t="shared" si="11"/>
        <v>1946</v>
      </c>
      <c r="C50" s="297">
        <f t="shared" si="0"/>
        <v>24</v>
      </c>
      <c r="D50" s="297">
        <f t="shared" si="12"/>
        <v>5</v>
      </c>
      <c r="E50" s="297">
        <f t="shared" si="13"/>
        <v>8</v>
      </c>
      <c r="F50" s="298">
        <f t="shared" si="14"/>
        <v>2</v>
      </c>
      <c r="G50" s="298">
        <f t="shared" si="15"/>
        <v>0</v>
      </c>
      <c r="H50" s="298">
        <f t="shared" si="16"/>
        <v>26</v>
      </c>
      <c r="I50" s="298">
        <f t="shared" si="17"/>
        <v>4</v>
      </c>
      <c r="J50" s="298">
        <f t="shared" si="18"/>
        <v>30</v>
      </c>
      <c r="K50" s="299">
        <f t="shared" si="19"/>
        <v>16913</v>
      </c>
      <c r="M50" s="607">
        <v>6300</v>
      </c>
      <c r="N50" s="607">
        <v>6399</v>
      </c>
      <c r="O50" s="611">
        <v>13</v>
      </c>
      <c r="P50" s="611">
        <v>3</v>
      </c>
      <c r="R50" s="497">
        <f t="shared" si="9"/>
        <v>16913</v>
      </c>
      <c r="T50" s="302">
        <f t="shared" si="10"/>
        <v>16913</v>
      </c>
    </row>
    <row r="51" spans="2:20" ht="14.4">
      <c r="B51" s="604">
        <f t="shared" si="11"/>
        <v>1947</v>
      </c>
      <c r="C51" s="297">
        <f t="shared" si="0"/>
        <v>24</v>
      </c>
      <c r="D51" s="297">
        <f t="shared" si="12"/>
        <v>5</v>
      </c>
      <c r="E51" s="297">
        <f t="shared" si="13"/>
        <v>9</v>
      </c>
      <c r="F51" s="298">
        <f t="shared" si="14"/>
        <v>3</v>
      </c>
      <c r="G51" s="298">
        <f t="shared" si="15"/>
        <v>1</v>
      </c>
      <c r="H51" s="298">
        <f t="shared" si="16"/>
        <v>15</v>
      </c>
      <c r="I51" s="298">
        <f t="shared" si="17"/>
        <v>0</v>
      </c>
      <c r="J51" s="298">
        <f t="shared" si="18"/>
        <v>15</v>
      </c>
      <c r="K51" s="299">
        <f t="shared" si="19"/>
        <v>17263</v>
      </c>
      <c r="M51" s="607">
        <v>6400</v>
      </c>
      <c r="N51" s="607">
        <v>6499</v>
      </c>
      <c r="O51" s="611">
        <v>12</v>
      </c>
      <c r="P51" s="611">
        <v>3</v>
      </c>
      <c r="R51" s="497">
        <f t="shared" si="9"/>
        <v>17263</v>
      </c>
      <c r="T51" s="302">
        <f t="shared" si="10"/>
        <v>17263</v>
      </c>
    </row>
    <row r="52" spans="2:20" ht="14.4">
      <c r="B52" s="604">
        <f t="shared" si="11"/>
        <v>1948</v>
      </c>
      <c r="C52" s="297">
        <f t="shared" si="0"/>
        <v>24</v>
      </c>
      <c r="D52" s="297">
        <f t="shared" si="12"/>
        <v>5</v>
      </c>
      <c r="E52" s="297">
        <f t="shared" si="13"/>
        <v>10</v>
      </c>
      <c r="F52" s="298">
        <f t="shared" si="14"/>
        <v>0</v>
      </c>
      <c r="G52" s="298">
        <f t="shared" si="15"/>
        <v>2</v>
      </c>
      <c r="H52" s="298">
        <f t="shared" si="16"/>
        <v>4</v>
      </c>
      <c r="I52" s="298">
        <f t="shared" si="17"/>
        <v>2</v>
      </c>
      <c r="J52" s="298">
        <f t="shared" si="18"/>
        <v>6</v>
      </c>
      <c r="K52" s="299">
        <f t="shared" si="19"/>
        <v>17620</v>
      </c>
      <c r="M52" s="607">
        <v>6500</v>
      </c>
      <c r="N52" s="607">
        <v>6599</v>
      </c>
      <c r="O52" s="611">
        <v>13</v>
      </c>
      <c r="P52" s="611">
        <v>4</v>
      </c>
      <c r="R52" s="497">
        <f t="shared" si="9"/>
        <v>17620</v>
      </c>
      <c r="T52" s="302">
        <f t="shared" si="10"/>
        <v>17620</v>
      </c>
    </row>
    <row r="53" spans="2:20" ht="14.4">
      <c r="B53" s="604">
        <f t="shared" si="11"/>
        <v>1949</v>
      </c>
      <c r="C53" s="297">
        <f t="shared" si="0"/>
        <v>24</v>
      </c>
      <c r="D53" s="297">
        <f t="shared" si="12"/>
        <v>5</v>
      </c>
      <c r="E53" s="297">
        <f t="shared" si="13"/>
        <v>11</v>
      </c>
      <c r="F53" s="298">
        <f t="shared" si="14"/>
        <v>1</v>
      </c>
      <c r="G53" s="298">
        <f t="shared" si="15"/>
        <v>3</v>
      </c>
      <c r="H53" s="298">
        <f t="shared" si="16"/>
        <v>23</v>
      </c>
      <c r="I53" s="298">
        <f t="shared" si="17"/>
        <v>3</v>
      </c>
      <c r="J53" s="298">
        <f t="shared" si="18"/>
        <v>26</v>
      </c>
      <c r="K53" s="299">
        <f t="shared" si="19"/>
        <v>18005</v>
      </c>
      <c r="M53" s="607">
        <v>6600</v>
      </c>
      <c r="N53" s="607">
        <v>6699</v>
      </c>
      <c r="O53" s="611">
        <v>14</v>
      </c>
      <c r="P53" s="611">
        <v>5</v>
      </c>
      <c r="R53" s="497">
        <f t="shared" si="9"/>
        <v>18005</v>
      </c>
      <c r="T53" s="302">
        <f t="shared" si="10"/>
        <v>18005</v>
      </c>
    </row>
    <row r="54" spans="2:20" ht="14.4">
      <c r="B54" s="604">
        <f t="shared" si="11"/>
        <v>1950</v>
      </c>
      <c r="C54" s="297">
        <f t="shared" si="0"/>
        <v>24</v>
      </c>
      <c r="D54" s="297">
        <f t="shared" si="12"/>
        <v>5</v>
      </c>
      <c r="E54" s="297">
        <f t="shared" si="13"/>
        <v>12</v>
      </c>
      <c r="F54" s="298">
        <f t="shared" si="14"/>
        <v>2</v>
      </c>
      <c r="G54" s="298">
        <f t="shared" si="15"/>
        <v>4</v>
      </c>
      <c r="H54" s="298">
        <f t="shared" si="16"/>
        <v>12</v>
      </c>
      <c r="I54" s="298">
        <f t="shared" si="17"/>
        <v>6</v>
      </c>
      <c r="J54" s="298">
        <f t="shared" si="18"/>
        <v>18</v>
      </c>
      <c r="K54" s="299">
        <f t="shared" si="19"/>
        <v>18362</v>
      </c>
      <c r="M54" s="607">
        <v>6700</v>
      </c>
      <c r="N54" s="607">
        <v>6799</v>
      </c>
      <c r="O54" s="611">
        <v>15</v>
      </c>
      <c r="P54" s="611">
        <v>6</v>
      </c>
      <c r="R54" s="497">
        <f t="shared" si="9"/>
        <v>18362</v>
      </c>
      <c r="T54" s="302">
        <f t="shared" si="10"/>
        <v>18362</v>
      </c>
    </row>
    <row r="55" spans="2:20" ht="14.4">
      <c r="B55" s="604">
        <f t="shared" si="11"/>
        <v>1951</v>
      </c>
      <c r="C55" s="297">
        <f t="shared" si="0"/>
        <v>24</v>
      </c>
      <c r="D55" s="297">
        <f t="shared" si="12"/>
        <v>5</v>
      </c>
      <c r="E55" s="297">
        <f t="shared" si="13"/>
        <v>13</v>
      </c>
      <c r="F55" s="298">
        <f t="shared" si="14"/>
        <v>3</v>
      </c>
      <c r="G55" s="298">
        <f t="shared" si="15"/>
        <v>5</v>
      </c>
      <c r="H55" s="298">
        <f t="shared" si="16"/>
        <v>1</v>
      </c>
      <c r="I55" s="298">
        <f t="shared" si="17"/>
        <v>2</v>
      </c>
      <c r="J55" s="298">
        <f t="shared" si="18"/>
        <v>3</v>
      </c>
      <c r="K55" s="299">
        <f t="shared" si="19"/>
        <v>18712</v>
      </c>
      <c r="M55" s="607">
        <v>6800</v>
      </c>
      <c r="N55" s="607">
        <v>6899</v>
      </c>
      <c r="O55" s="611">
        <v>14</v>
      </c>
      <c r="P55" s="611">
        <v>6</v>
      </c>
      <c r="R55" s="497">
        <f t="shared" si="9"/>
        <v>18712</v>
      </c>
      <c r="T55" s="302">
        <f t="shared" si="10"/>
        <v>18712</v>
      </c>
    </row>
    <row r="56" spans="2:20" ht="14.4">
      <c r="B56" s="604">
        <f t="shared" si="11"/>
        <v>1952</v>
      </c>
      <c r="C56" s="297">
        <f t="shared" si="0"/>
        <v>24</v>
      </c>
      <c r="D56" s="297">
        <f t="shared" si="12"/>
        <v>5</v>
      </c>
      <c r="E56" s="297">
        <f t="shared" si="13"/>
        <v>14</v>
      </c>
      <c r="F56" s="298">
        <f t="shared" si="14"/>
        <v>0</v>
      </c>
      <c r="G56" s="298">
        <f t="shared" si="15"/>
        <v>6</v>
      </c>
      <c r="H56" s="298">
        <f t="shared" si="16"/>
        <v>20</v>
      </c>
      <c r="I56" s="298">
        <f t="shared" si="17"/>
        <v>2</v>
      </c>
      <c r="J56" s="298">
        <f t="shared" si="18"/>
        <v>22</v>
      </c>
      <c r="K56" s="299">
        <f t="shared" si="19"/>
        <v>19097</v>
      </c>
      <c r="M56" s="607">
        <v>6900</v>
      </c>
      <c r="N56" s="607">
        <v>6999</v>
      </c>
      <c r="O56" s="611">
        <v>15</v>
      </c>
      <c r="P56" s="611">
        <v>0</v>
      </c>
      <c r="R56" s="497">
        <f t="shared" si="9"/>
        <v>19097</v>
      </c>
      <c r="T56" s="302">
        <f t="shared" si="10"/>
        <v>19097</v>
      </c>
    </row>
    <row r="57" spans="2:20" ht="14.4">
      <c r="B57" s="604">
        <f t="shared" si="11"/>
        <v>1953</v>
      </c>
      <c r="C57" s="297">
        <f t="shared" si="0"/>
        <v>24</v>
      </c>
      <c r="D57" s="297">
        <f t="shared" si="12"/>
        <v>5</v>
      </c>
      <c r="E57" s="297">
        <f t="shared" si="13"/>
        <v>15</v>
      </c>
      <c r="F57" s="298">
        <f t="shared" si="14"/>
        <v>1</v>
      </c>
      <c r="G57" s="298">
        <f t="shared" si="15"/>
        <v>0</v>
      </c>
      <c r="H57" s="298">
        <f t="shared" si="16"/>
        <v>9</v>
      </c>
      <c r="I57" s="298">
        <f t="shared" si="17"/>
        <v>5</v>
      </c>
      <c r="J57" s="298">
        <f t="shared" si="18"/>
        <v>14</v>
      </c>
      <c r="K57" s="299">
        <f t="shared" si="19"/>
        <v>19454</v>
      </c>
      <c r="M57" s="607">
        <v>7000</v>
      </c>
      <c r="N57" s="607">
        <v>7099</v>
      </c>
      <c r="O57" s="611">
        <v>16</v>
      </c>
      <c r="P57" s="611">
        <v>1</v>
      </c>
      <c r="R57" s="497">
        <f t="shared" si="9"/>
        <v>19454</v>
      </c>
      <c r="T57" s="302">
        <f t="shared" si="10"/>
        <v>19454</v>
      </c>
    </row>
    <row r="58" spans="2:20" ht="14.4">
      <c r="B58" s="604">
        <f t="shared" si="11"/>
        <v>1954</v>
      </c>
      <c r="C58" s="297">
        <f t="shared" si="0"/>
        <v>24</v>
      </c>
      <c r="D58" s="297">
        <f t="shared" si="12"/>
        <v>5</v>
      </c>
      <c r="E58" s="297">
        <f t="shared" si="13"/>
        <v>16</v>
      </c>
      <c r="F58" s="298">
        <f t="shared" si="14"/>
        <v>2</v>
      </c>
      <c r="G58" s="298">
        <f t="shared" si="15"/>
        <v>1</v>
      </c>
      <c r="H58" s="298">
        <f t="shared" si="16"/>
        <v>28</v>
      </c>
      <c r="I58" s="298">
        <f t="shared" si="17"/>
        <v>6</v>
      </c>
      <c r="J58" s="298">
        <f t="shared" si="18"/>
        <v>34</v>
      </c>
      <c r="K58" s="299">
        <f t="shared" si="19"/>
        <v>19832</v>
      </c>
      <c r="M58" s="607">
        <v>7100</v>
      </c>
      <c r="N58" s="607">
        <v>7199</v>
      </c>
      <c r="O58" s="611">
        <v>16</v>
      </c>
      <c r="P58" s="611">
        <v>2</v>
      </c>
      <c r="R58" s="497">
        <f t="shared" si="9"/>
        <v>19839</v>
      </c>
      <c r="T58" s="302">
        <f t="shared" si="10"/>
        <v>19832</v>
      </c>
    </row>
    <row r="59" spans="2:20" ht="14.4">
      <c r="B59" s="604">
        <f t="shared" si="11"/>
        <v>1955</v>
      </c>
      <c r="C59" s="297">
        <f t="shared" si="0"/>
        <v>24</v>
      </c>
      <c r="D59" s="297">
        <f t="shared" si="12"/>
        <v>5</v>
      </c>
      <c r="E59" s="297">
        <f t="shared" si="13"/>
        <v>17</v>
      </c>
      <c r="F59" s="298">
        <f t="shared" si="14"/>
        <v>3</v>
      </c>
      <c r="G59" s="298">
        <f t="shared" si="15"/>
        <v>2</v>
      </c>
      <c r="H59" s="298">
        <f t="shared" si="16"/>
        <v>17</v>
      </c>
      <c r="I59" s="298">
        <f t="shared" si="17"/>
        <v>2</v>
      </c>
      <c r="J59" s="298">
        <f t="shared" si="18"/>
        <v>19</v>
      </c>
      <c r="K59" s="299">
        <f t="shared" si="19"/>
        <v>20189</v>
      </c>
      <c r="M59" s="607">
        <v>7200</v>
      </c>
      <c r="N59" s="607">
        <v>7299</v>
      </c>
      <c r="O59" s="611">
        <v>16</v>
      </c>
      <c r="P59" s="611">
        <v>2</v>
      </c>
      <c r="R59" s="497">
        <f t="shared" si="9"/>
        <v>20189</v>
      </c>
      <c r="T59" s="302">
        <f t="shared" si="10"/>
        <v>20189</v>
      </c>
    </row>
    <row r="60" spans="2:20" ht="14.4">
      <c r="B60" s="604">
        <f t="shared" si="11"/>
        <v>1956</v>
      </c>
      <c r="C60" s="297">
        <f t="shared" si="0"/>
        <v>24</v>
      </c>
      <c r="D60" s="297">
        <f t="shared" si="12"/>
        <v>5</v>
      </c>
      <c r="E60" s="297">
        <f t="shared" si="13"/>
        <v>18</v>
      </c>
      <c r="F60" s="298">
        <f t="shared" si="14"/>
        <v>0</v>
      </c>
      <c r="G60" s="298">
        <f t="shared" si="15"/>
        <v>3</v>
      </c>
      <c r="H60" s="298">
        <f t="shared" si="16"/>
        <v>6</v>
      </c>
      <c r="I60" s="298">
        <f t="shared" si="17"/>
        <v>4</v>
      </c>
      <c r="J60" s="298">
        <f t="shared" si="18"/>
        <v>10</v>
      </c>
      <c r="K60" s="299">
        <f t="shared" si="19"/>
        <v>20546</v>
      </c>
      <c r="M60" s="607">
        <v>7300</v>
      </c>
      <c r="N60" s="607">
        <v>7399</v>
      </c>
      <c r="O60" s="611">
        <v>17</v>
      </c>
      <c r="P60" s="611">
        <v>3</v>
      </c>
      <c r="R60" s="497">
        <f t="shared" si="9"/>
        <v>20546</v>
      </c>
      <c r="T60" s="302">
        <f t="shared" si="10"/>
        <v>20546</v>
      </c>
    </row>
    <row r="61" spans="2:20" ht="14.4">
      <c r="B61" s="604">
        <f t="shared" si="11"/>
        <v>1957</v>
      </c>
      <c r="C61" s="297">
        <f t="shared" si="0"/>
        <v>24</v>
      </c>
      <c r="D61" s="297">
        <f t="shared" si="12"/>
        <v>5</v>
      </c>
      <c r="E61" s="297">
        <f t="shared" si="13"/>
        <v>0</v>
      </c>
      <c r="F61" s="298">
        <f t="shared" si="14"/>
        <v>1</v>
      </c>
      <c r="G61" s="298">
        <f t="shared" si="15"/>
        <v>4</v>
      </c>
      <c r="H61" s="298">
        <f t="shared" si="16"/>
        <v>24</v>
      </c>
      <c r="I61" s="298">
        <f t="shared" si="17"/>
        <v>6</v>
      </c>
      <c r="J61" s="298">
        <f t="shared" si="18"/>
        <v>30</v>
      </c>
      <c r="K61" s="299">
        <f t="shared" si="19"/>
        <v>20931</v>
      </c>
      <c r="M61" s="607">
        <v>7400</v>
      </c>
      <c r="N61" s="607">
        <v>7499</v>
      </c>
      <c r="O61" s="611">
        <v>17</v>
      </c>
      <c r="P61" s="611">
        <v>4</v>
      </c>
      <c r="R61" s="497">
        <f t="shared" si="9"/>
        <v>20931</v>
      </c>
      <c r="T61" s="302">
        <f t="shared" si="10"/>
        <v>20931</v>
      </c>
    </row>
    <row r="62" spans="2:20" ht="14.4">
      <c r="B62" s="604">
        <f t="shared" si="11"/>
        <v>1958</v>
      </c>
      <c r="C62" s="297">
        <f t="shared" si="0"/>
        <v>24</v>
      </c>
      <c r="D62" s="297">
        <f t="shared" si="12"/>
        <v>5</v>
      </c>
      <c r="E62" s="297">
        <f t="shared" si="13"/>
        <v>1</v>
      </c>
      <c r="F62" s="298">
        <f t="shared" si="14"/>
        <v>2</v>
      </c>
      <c r="G62" s="298">
        <f t="shared" si="15"/>
        <v>5</v>
      </c>
      <c r="H62" s="298">
        <f t="shared" si="16"/>
        <v>13</v>
      </c>
      <c r="I62" s="298">
        <f t="shared" si="17"/>
        <v>2</v>
      </c>
      <c r="J62" s="298">
        <f t="shared" si="18"/>
        <v>15</v>
      </c>
      <c r="K62" s="299">
        <f t="shared" si="19"/>
        <v>21281</v>
      </c>
      <c r="M62" s="607">
        <v>7500</v>
      </c>
      <c r="N62" s="607">
        <v>7599</v>
      </c>
      <c r="O62" s="611">
        <v>18</v>
      </c>
      <c r="P62" s="611">
        <v>5</v>
      </c>
      <c r="R62" s="497">
        <f t="shared" si="9"/>
        <v>21281</v>
      </c>
      <c r="T62" s="302">
        <f t="shared" si="10"/>
        <v>21281</v>
      </c>
    </row>
    <row r="63" spans="2:20" ht="14.4">
      <c r="B63" s="604">
        <f t="shared" si="11"/>
        <v>1959</v>
      </c>
      <c r="C63" s="297">
        <f t="shared" si="0"/>
        <v>24</v>
      </c>
      <c r="D63" s="297">
        <f t="shared" si="12"/>
        <v>5</v>
      </c>
      <c r="E63" s="297">
        <f t="shared" si="13"/>
        <v>2</v>
      </c>
      <c r="F63" s="298">
        <f t="shared" si="14"/>
        <v>3</v>
      </c>
      <c r="G63" s="298">
        <f t="shared" si="15"/>
        <v>6</v>
      </c>
      <c r="H63" s="298">
        <f t="shared" si="16"/>
        <v>2</v>
      </c>
      <c r="I63" s="298">
        <f t="shared" si="17"/>
        <v>5</v>
      </c>
      <c r="J63" s="298">
        <f t="shared" si="18"/>
        <v>7</v>
      </c>
      <c r="K63" s="299">
        <f t="shared" si="19"/>
        <v>21638</v>
      </c>
      <c r="M63" s="607">
        <v>7600</v>
      </c>
      <c r="N63" s="607">
        <v>7699</v>
      </c>
      <c r="O63" s="611">
        <v>18</v>
      </c>
      <c r="P63" s="611">
        <v>5</v>
      </c>
      <c r="R63" s="497">
        <f t="shared" si="9"/>
        <v>21638</v>
      </c>
      <c r="T63" s="302">
        <f t="shared" si="10"/>
        <v>21638</v>
      </c>
    </row>
    <row r="64" spans="2:20" ht="14.4">
      <c r="B64" s="604">
        <f t="shared" si="11"/>
        <v>1960</v>
      </c>
      <c r="C64" s="297">
        <f t="shared" si="0"/>
        <v>24</v>
      </c>
      <c r="D64" s="297">
        <f t="shared" si="12"/>
        <v>5</v>
      </c>
      <c r="E64" s="297">
        <f t="shared" si="13"/>
        <v>3</v>
      </c>
      <c r="F64" s="298">
        <f t="shared" si="14"/>
        <v>0</v>
      </c>
      <c r="G64" s="298">
        <f t="shared" si="15"/>
        <v>0</v>
      </c>
      <c r="H64" s="298">
        <f t="shared" si="16"/>
        <v>21</v>
      </c>
      <c r="I64" s="298">
        <f t="shared" si="17"/>
        <v>5</v>
      </c>
      <c r="J64" s="298">
        <f t="shared" si="18"/>
        <v>26</v>
      </c>
      <c r="K64" s="299">
        <f t="shared" si="19"/>
        <v>22023</v>
      </c>
      <c r="M64" s="607">
        <v>7700</v>
      </c>
      <c r="N64" s="607">
        <v>7799</v>
      </c>
      <c r="O64" s="611">
        <v>18</v>
      </c>
      <c r="P64" s="611">
        <v>6</v>
      </c>
      <c r="R64" s="497">
        <f t="shared" si="9"/>
        <v>22023</v>
      </c>
      <c r="T64" s="302">
        <f t="shared" si="10"/>
        <v>22023</v>
      </c>
    </row>
    <row r="65" spans="2:20" ht="14.4">
      <c r="B65" s="604">
        <f t="shared" si="11"/>
        <v>1961</v>
      </c>
      <c r="C65" s="297">
        <f t="shared" si="0"/>
        <v>24</v>
      </c>
      <c r="D65" s="297">
        <f t="shared" si="12"/>
        <v>5</v>
      </c>
      <c r="E65" s="297">
        <f t="shared" si="13"/>
        <v>4</v>
      </c>
      <c r="F65" s="298">
        <f t="shared" si="14"/>
        <v>1</v>
      </c>
      <c r="G65" s="298">
        <f t="shared" si="15"/>
        <v>1</v>
      </c>
      <c r="H65" s="298">
        <f t="shared" si="16"/>
        <v>10</v>
      </c>
      <c r="I65" s="298">
        <f t="shared" si="17"/>
        <v>1</v>
      </c>
      <c r="J65" s="298">
        <f t="shared" si="18"/>
        <v>11</v>
      </c>
      <c r="K65" s="299">
        <f t="shared" si="19"/>
        <v>22373</v>
      </c>
      <c r="M65" s="607">
        <v>7800</v>
      </c>
      <c r="N65" s="607">
        <v>7899</v>
      </c>
      <c r="O65" s="611">
        <v>19</v>
      </c>
      <c r="P65" s="611">
        <v>0</v>
      </c>
      <c r="R65" s="497">
        <f t="shared" si="9"/>
        <v>22373</v>
      </c>
      <c r="T65" s="302">
        <f t="shared" si="10"/>
        <v>22373</v>
      </c>
    </row>
    <row r="66" spans="2:20" ht="14.4">
      <c r="B66" s="604">
        <f t="shared" si="11"/>
        <v>1962</v>
      </c>
      <c r="C66" s="297">
        <f t="shared" si="0"/>
        <v>24</v>
      </c>
      <c r="D66" s="297">
        <f t="shared" si="12"/>
        <v>5</v>
      </c>
      <c r="E66" s="297">
        <f t="shared" si="13"/>
        <v>5</v>
      </c>
      <c r="F66" s="298">
        <f t="shared" si="14"/>
        <v>2</v>
      </c>
      <c r="G66" s="298">
        <f t="shared" si="15"/>
        <v>2</v>
      </c>
      <c r="H66" s="298">
        <f t="shared" si="16"/>
        <v>29</v>
      </c>
      <c r="I66" s="298">
        <f t="shared" si="17"/>
        <v>2</v>
      </c>
      <c r="J66" s="298">
        <f t="shared" si="18"/>
        <v>31</v>
      </c>
      <c r="K66" s="299">
        <f t="shared" si="19"/>
        <v>22758</v>
      </c>
      <c r="M66" s="607">
        <v>7900</v>
      </c>
      <c r="N66" s="607">
        <v>7999</v>
      </c>
      <c r="O66" s="611">
        <v>20</v>
      </c>
      <c r="P66" s="611">
        <v>1</v>
      </c>
      <c r="R66" s="497">
        <f t="shared" si="9"/>
        <v>22758</v>
      </c>
      <c r="T66" s="302">
        <f t="shared" si="10"/>
        <v>22758</v>
      </c>
    </row>
    <row r="67" spans="2:20" ht="14.4">
      <c r="B67" s="604">
        <f t="shared" si="11"/>
        <v>1963</v>
      </c>
      <c r="C67" s="297">
        <f t="shared" si="0"/>
        <v>24</v>
      </c>
      <c r="D67" s="297">
        <f t="shared" si="12"/>
        <v>5</v>
      </c>
      <c r="E67" s="297">
        <f t="shared" si="13"/>
        <v>6</v>
      </c>
      <c r="F67" s="298">
        <f t="shared" si="14"/>
        <v>3</v>
      </c>
      <c r="G67" s="298">
        <f t="shared" si="15"/>
        <v>3</v>
      </c>
      <c r="H67" s="298">
        <f t="shared" si="16"/>
        <v>18</v>
      </c>
      <c r="I67" s="298">
        <f t="shared" si="17"/>
        <v>5</v>
      </c>
      <c r="J67" s="298">
        <f t="shared" si="18"/>
        <v>23</v>
      </c>
      <c r="K67" s="299">
        <f t="shared" si="19"/>
        <v>23115</v>
      </c>
      <c r="M67" s="607">
        <v>8000</v>
      </c>
      <c r="N67" s="607">
        <v>8099</v>
      </c>
      <c r="O67" s="611">
        <v>19</v>
      </c>
      <c r="P67" s="611">
        <v>1</v>
      </c>
      <c r="R67" s="497">
        <f t="shared" si="9"/>
        <v>23115</v>
      </c>
      <c r="T67" s="302">
        <f t="shared" si="10"/>
        <v>23115</v>
      </c>
    </row>
    <row r="68" spans="2:20" ht="14.4">
      <c r="B68" s="604">
        <f t="shared" si="11"/>
        <v>1964</v>
      </c>
      <c r="C68" s="297">
        <f t="shared" si="0"/>
        <v>24</v>
      </c>
      <c r="D68" s="297">
        <f t="shared" si="12"/>
        <v>5</v>
      </c>
      <c r="E68" s="297">
        <f t="shared" si="13"/>
        <v>7</v>
      </c>
      <c r="F68" s="298">
        <f t="shared" si="14"/>
        <v>0</v>
      </c>
      <c r="G68" s="298">
        <f t="shared" si="15"/>
        <v>4</v>
      </c>
      <c r="H68" s="298">
        <f t="shared" si="16"/>
        <v>7</v>
      </c>
      <c r="I68" s="298">
        <f t="shared" si="17"/>
        <v>0</v>
      </c>
      <c r="J68" s="298">
        <f t="shared" si="18"/>
        <v>7</v>
      </c>
      <c r="K68" s="299">
        <f t="shared" si="19"/>
        <v>23465</v>
      </c>
      <c r="M68" s="607">
        <v>8100</v>
      </c>
      <c r="N68" s="607">
        <v>8199</v>
      </c>
      <c r="O68" s="611">
        <v>20</v>
      </c>
      <c r="P68" s="611">
        <v>2</v>
      </c>
      <c r="R68" s="497">
        <f t="shared" si="9"/>
        <v>23465</v>
      </c>
      <c r="T68" s="302">
        <f t="shared" si="10"/>
        <v>23465</v>
      </c>
    </row>
    <row r="69" spans="2:20" ht="14.4">
      <c r="B69" s="604">
        <f t="shared" si="11"/>
        <v>1965</v>
      </c>
      <c r="C69" s="297">
        <f t="shared" ref="C69:C132" si="20">VLOOKUP(B69,$M$4:$P$86,3,TRUE)</f>
        <v>24</v>
      </c>
      <c r="D69" s="297">
        <f t="shared" si="12"/>
        <v>5</v>
      </c>
      <c r="E69" s="297">
        <f t="shared" si="13"/>
        <v>8</v>
      </c>
      <c r="F69" s="298">
        <f t="shared" si="14"/>
        <v>1</v>
      </c>
      <c r="G69" s="298">
        <f t="shared" si="15"/>
        <v>5</v>
      </c>
      <c r="H69" s="298">
        <f t="shared" si="16"/>
        <v>26</v>
      </c>
      <c r="I69" s="298">
        <f t="shared" si="17"/>
        <v>1</v>
      </c>
      <c r="J69" s="298">
        <f t="shared" si="18"/>
        <v>27</v>
      </c>
      <c r="K69" s="299">
        <f t="shared" si="19"/>
        <v>23850</v>
      </c>
      <c r="M69" s="607">
        <v>8200</v>
      </c>
      <c r="N69" s="607">
        <v>8299</v>
      </c>
      <c r="O69" s="611">
        <v>21</v>
      </c>
      <c r="P69" s="611">
        <v>3</v>
      </c>
      <c r="R69" s="497">
        <f t="shared" ref="R69:R132" si="21">IF(MOD(19*MOD(B69,19)+C69,30)+MOD(2*MOD(B69,4)+4*MOD(B69,7)+6*MOD(19*MOD(B69,19)+C69,30)+D69,7)-9&lt;=0,DATE(B69,3,22+MOD(19*MOD(B69,19)+C69,30)+MOD(2*MOD(B69,4)+4*MOD(B69,7)+6*MOD(19*MOD(B69,19)+C69,30)+D69,7)),DATE(B69,4,MOD(19*MOD(B69,19)+C69,30)+MOD(2*MOD(B69,4)+4*MOD(B69,7)+6*MOD(19*MOD(B69,19)+C69,30)+D69,7)-9))</f>
        <v>23850</v>
      </c>
      <c r="T69" s="302">
        <f t="shared" ref="T69:T132" si="22">DOLLAR(("4/"&amp;B69)/7+MOD(19*MOD(B69,19)-7,30)*14%,)*7-6</f>
        <v>23850</v>
      </c>
    </row>
    <row r="70" spans="2:20" ht="14.4">
      <c r="B70" s="604">
        <f t="shared" ref="B70:B133" si="23">B69+1</f>
        <v>1966</v>
      </c>
      <c r="C70" s="297">
        <f t="shared" si="20"/>
        <v>24</v>
      </c>
      <c r="D70" s="297">
        <f t="shared" si="12"/>
        <v>5</v>
      </c>
      <c r="E70" s="297">
        <f t="shared" si="13"/>
        <v>9</v>
      </c>
      <c r="F70" s="298">
        <f t="shared" si="14"/>
        <v>2</v>
      </c>
      <c r="G70" s="298">
        <f t="shared" si="15"/>
        <v>6</v>
      </c>
      <c r="H70" s="298">
        <f t="shared" si="16"/>
        <v>15</v>
      </c>
      <c r="I70" s="298">
        <f t="shared" si="17"/>
        <v>4</v>
      </c>
      <c r="J70" s="298">
        <f t="shared" si="18"/>
        <v>19</v>
      </c>
      <c r="K70" s="299">
        <f t="shared" si="19"/>
        <v>24207</v>
      </c>
      <c r="M70" s="607">
        <v>8300</v>
      </c>
      <c r="N70" s="607">
        <v>8399</v>
      </c>
      <c r="O70" s="611">
        <v>21</v>
      </c>
      <c r="P70" s="611">
        <v>4</v>
      </c>
      <c r="R70" s="497">
        <f t="shared" si="21"/>
        <v>24207</v>
      </c>
      <c r="T70" s="302">
        <f t="shared" si="22"/>
        <v>24207</v>
      </c>
    </row>
    <row r="71" spans="2:20" ht="14.4">
      <c r="B71" s="604">
        <f t="shared" si="23"/>
        <v>1967</v>
      </c>
      <c r="C71" s="297">
        <f t="shared" si="20"/>
        <v>24</v>
      </c>
      <c r="D71" s="297">
        <f t="shared" si="12"/>
        <v>5</v>
      </c>
      <c r="E71" s="297">
        <f t="shared" si="13"/>
        <v>10</v>
      </c>
      <c r="F71" s="298">
        <f t="shared" si="14"/>
        <v>3</v>
      </c>
      <c r="G71" s="298">
        <f t="shared" si="15"/>
        <v>0</v>
      </c>
      <c r="H71" s="298">
        <f t="shared" si="16"/>
        <v>4</v>
      </c>
      <c r="I71" s="298">
        <f t="shared" si="17"/>
        <v>0</v>
      </c>
      <c r="J71" s="298">
        <f t="shared" si="18"/>
        <v>4</v>
      </c>
      <c r="K71" s="299">
        <f t="shared" si="19"/>
        <v>24557</v>
      </c>
      <c r="M71" s="607">
        <v>8400</v>
      </c>
      <c r="N71" s="607">
        <v>8499</v>
      </c>
      <c r="O71" s="611">
        <v>21</v>
      </c>
      <c r="P71" s="611">
        <v>4</v>
      </c>
      <c r="R71" s="497">
        <f t="shared" si="21"/>
        <v>24557</v>
      </c>
      <c r="T71" s="302">
        <f t="shared" si="22"/>
        <v>24557</v>
      </c>
    </row>
    <row r="72" spans="2:20" ht="14.4">
      <c r="B72" s="604">
        <f t="shared" si="23"/>
        <v>1968</v>
      </c>
      <c r="C72" s="297">
        <f t="shared" si="20"/>
        <v>24</v>
      </c>
      <c r="D72" s="297">
        <f t="shared" si="12"/>
        <v>5</v>
      </c>
      <c r="E72" s="297">
        <f t="shared" si="13"/>
        <v>11</v>
      </c>
      <c r="F72" s="298">
        <f t="shared" si="14"/>
        <v>0</v>
      </c>
      <c r="G72" s="298">
        <f t="shared" si="15"/>
        <v>1</v>
      </c>
      <c r="H72" s="298">
        <f t="shared" si="16"/>
        <v>23</v>
      </c>
      <c r="I72" s="298">
        <f t="shared" si="17"/>
        <v>0</v>
      </c>
      <c r="J72" s="298">
        <f t="shared" si="18"/>
        <v>23</v>
      </c>
      <c r="K72" s="299">
        <f t="shared" si="19"/>
        <v>24942</v>
      </c>
      <c r="M72" s="607">
        <v>8500</v>
      </c>
      <c r="N72" s="607">
        <v>8599</v>
      </c>
      <c r="O72" s="611">
        <v>22</v>
      </c>
      <c r="P72" s="611">
        <v>5</v>
      </c>
      <c r="R72" s="497">
        <f t="shared" si="21"/>
        <v>24942</v>
      </c>
      <c r="T72" s="302">
        <f t="shared" si="22"/>
        <v>24942</v>
      </c>
    </row>
    <row r="73" spans="2:20" ht="14.4">
      <c r="B73" s="604">
        <f t="shared" si="23"/>
        <v>1969</v>
      </c>
      <c r="C73" s="297">
        <f t="shared" si="20"/>
        <v>24</v>
      </c>
      <c r="D73" s="297">
        <f t="shared" si="12"/>
        <v>5</v>
      </c>
      <c r="E73" s="297">
        <f t="shared" si="13"/>
        <v>12</v>
      </c>
      <c r="F73" s="298">
        <f t="shared" si="14"/>
        <v>1</v>
      </c>
      <c r="G73" s="298">
        <f t="shared" si="15"/>
        <v>2</v>
      </c>
      <c r="H73" s="298">
        <f t="shared" si="16"/>
        <v>12</v>
      </c>
      <c r="I73" s="298">
        <f t="shared" si="17"/>
        <v>3</v>
      </c>
      <c r="J73" s="298">
        <f t="shared" si="18"/>
        <v>15</v>
      </c>
      <c r="K73" s="299">
        <f t="shared" si="19"/>
        <v>25299</v>
      </c>
      <c r="M73" s="607">
        <v>8600</v>
      </c>
      <c r="N73" s="607">
        <v>8699</v>
      </c>
      <c r="O73" s="611">
        <v>22</v>
      </c>
      <c r="P73" s="611">
        <v>6</v>
      </c>
      <c r="R73" s="497">
        <f t="shared" si="21"/>
        <v>25299</v>
      </c>
      <c r="T73" s="302">
        <f t="shared" si="22"/>
        <v>25299</v>
      </c>
    </row>
    <row r="74" spans="2:20" ht="14.4">
      <c r="B74" s="604">
        <f t="shared" si="23"/>
        <v>1970</v>
      </c>
      <c r="C74" s="297">
        <f t="shared" si="20"/>
        <v>24</v>
      </c>
      <c r="D74" s="297">
        <f t="shared" ref="D74:D137" si="24">VLOOKUP(B74,$M$4:$P$86,4,TRUE)</f>
        <v>5</v>
      </c>
      <c r="E74" s="297">
        <f t="shared" ref="E74:E137" si="25">MOD(B74,19)</f>
        <v>13</v>
      </c>
      <c r="F74" s="298">
        <f t="shared" ref="F74:F137" si="26">MOD(B74,4)</f>
        <v>2</v>
      </c>
      <c r="G74" s="298">
        <f t="shared" ref="G74:G137" si="27">MOD(B74,7)</f>
        <v>3</v>
      </c>
      <c r="H74" s="298">
        <f t="shared" ref="H74:H137" si="28">MOD(19*E74+C74,30)</f>
        <v>1</v>
      </c>
      <c r="I74" s="298">
        <f t="shared" ref="I74:I137" si="29">MOD(2*F74+4*G74+6*H74+D74,7)</f>
        <v>6</v>
      </c>
      <c r="J74" s="298">
        <f t="shared" ref="J74:J137" si="30">H74+I74</f>
        <v>7</v>
      </c>
      <c r="K74" s="299">
        <f t="shared" ref="K74:K137" si="31">IF(J74&lt;10,DATE(B74,3,J74+22),IF(J74-9=26,DATE(B74,4,19),IF(AND(J74-9=25,H74=28,I74=6,E74&gt;10),DATE(B74,4,18),DATE(B74,4,J74-9))))</f>
        <v>25656</v>
      </c>
      <c r="M74" s="607">
        <v>8700</v>
      </c>
      <c r="N74" s="607">
        <v>8799</v>
      </c>
      <c r="O74" s="611">
        <v>23</v>
      </c>
      <c r="P74" s="611">
        <v>0</v>
      </c>
      <c r="R74" s="497">
        <f t="shared" si="21"/>
        <v>25656</v>
      </c>
      <c r="T74" s="302">
        <f t="shared" si="22"/>
        <v>25656</v>
      </c>
    </row>
    <row r="75" spans="2:20" ht="14.4">
      <c r="B75" s="604">
        <f t="shared" si="23"/>
        <v>1971</v>
      </c>
      <c r="C75" s="297">
        <f t="shared" si="20"/>
        <v>24</v>
      </c>
      <c r="D75" s="297">
        <f t="shared" si="24"/>
        <v>5</v>
      </c>
      <c r="E75" s="297">
        <f t="shared" si="25"/>
        <v>14</v>
      </c>
      <c r="F75" s="298">
        <f t="shared" si="26"/>
        <v>3</v>
      </c>
      <c r="G75" s="298">
        <f t="shared" si="27"/>
        <v>4</v>
      </c>
      <c r="H75" s="298">
        <f t="shared" si="28"/>
        <v>20</v>
      </c>
      <c r="I75" s="298">
        <f t="shared" si="29"/>
        <v>0</v>
      </c>
      <c r="J75" s="298">
        <f t="shared" si="30"/>
        <v>20</v>
      </c>
      <c r="K75" s="299">
        <f t="shared" si="31"/>
        <v>26034</v>
      </c>
      <c r="M75" s="607">
        <v>8800</v>
      </c>
      <c r="N75" s="607">
        <v>8899</v>
      </c>
      <c r="O75" s="611">
        <v>23</v>
      </c>
      <c r="P75" s="611">
        <v>0</v>
      </c>
      <c r="R75" s="497">
        <f t="shared" si="21"/>
        <v>26034</v>
      </c>
      <c r="T75" s="302">
        <f t="shared" si="22"/>
        <v>26034</v>
      </c>
    </row>
    <row r="76" spans="2:20" ht="14.4">
      <c r="B76" s="604">
        <f t="shared" si="23"/>
        <v>1972</v>
      </c>
      <c r="C76" s="297">
        <f t="shared" si="20"/>
        <v>24</v>
      </c>
      <c r="D76" s="297">
        <f t="shared" si="24"/>
        <v>5</v>
      </c>
      <c r="E76" s="297">
        <f t="shared" si="25"/>
        <v>15</v>
      </c>
      <c r="F76" s="298">
        <f t="shared" si="26"/>
        <v>0</v>
      </c>
      <c r="G76" s="298">
        <f t="shared" si="27"/>
        <v>5</v>
      </c>
      <c r="H76" s="298">
        <f t="shared" si="28"/>
        <v>9</v>
      </c>
      <c r="I76" s="298">
        <f t="shared" si="29"/>
        <v>2</v>
      </c>
      <c r="J76" s="298">
        <f t="shared" si="30"/>
        <v>11</v>
      </c>
      <c r="K76" s="299">
        <f t="shared" si="31"/>
        <v>26391</v>
      </c>
      <c r="M76" s="607">
        <v>8900</v>
      </c>
      <c r="N76" s="607">
        <v>8999</v>
      </c>
      <c r="O76" s="611">
        <v>23</v>
      </c>
      <c r="P76" s="611">
        <v>1</v>
      </c>
      <c r="R76" s="497">
        <f t="shared" si="21"/>
        <v>26391</v>
      </c>
      <c r="T76" s="302">
        <f t="shared" si="22"/>
        <v>26391</v>
      </c>
    </row>
    <row r="77" spans="2:20" ht="14.4">
      <c r="B77" s="604">
        <f t="shared" si="23"/>
        <v>1973</v>
      </c>
      <c r="C77" s="297">
        <f t="shared" si="20"/>
        <v>24</v>
      </c>
      <c r="D77" s="297">
        <f t="shared" si="24"/>
        <v>5</v>
      </c>
      <c r="E77" s="297">
        <f t="shared" si="25"/>
        <v>16</v>
      </c>
      <c r="F77" s="298">
        <f t="shared" si="26"/>
        <v>1</v>
      </c>
      <c r="G77" s="298">
        <f t="shared" si="27"/>
        <v>6</v>
      </c>
      <c r="H77" s="298">
        <f t="shared" si="28"/>
        <v>28</v>
      </c>
      <c r="I77" s="298">
        <f t="shared" si="29"/>
        <v>3</v>
      </c>
      <c r="J77" s="298">
        <f t="shared" si="30"/>
        <v>31</v>
      </c>
      <c r="K77" s="299">
        <f t="shared" si="31"/>
        <v>26776</v>
      </c>
      <c r="M77" s="607">
        <v>9000</v>
      </c>
      <c r="N77" s="607">
        <v>9099</v>
      </c>
      <c r="O77" s="611">
        <v>24</v>
      </c>
      <c r="P77" s="611">
        <v>2</v>
      </c>
      <c r="R77" s="497">
        <f t="shared" si="21"/>
        <v>26776</v>
      </c>
      <c r="T77" s="302">
        <f t="shared" si="22"/>
        <v>26776</v>
      </c>
    </row>
    <row r="78" spans="2:20" ht="14.4">
      <c r="B78" s="604">
        <f t="shared" si="23"/>
        <v>1974</v>
      </c>
      <c r="C78" s="297">
        <f t="shared" si="20"/>
        <v>24</v>
      </c>
      <c r="D78" s="297">
        <f t="shared" si="24"/>
        <v>5</v>
      </c>
      <c r="E78" s="297">
        <f t="shared" si="25"/>
        <v>17</v>
      </c>
      <c r="F78" s="298">
        <f t="shared" si="26"/>
        <v>2</v>
      </c>
      <c r="G78" s="298">
        <f t="shared" si="27"/>
        <v>0</v>
      </c>
      <c r="H78" s="298">
        <f t="shared" si="28"/>
        <v>17</v>
      </c>
      <c r="I78" s="298">
        <f t="shared" si="29"/>
        <v>6</v>
      </c>
      <c r="J78" s="298">
        <f t="shared" si="30"/>
        <v>23</v>
      </c>
      <c r="K78" s="299">
        <f t="shared" si="31"/>
        <v>27133</v>
      </c>
      <c r="M78" s="607">
        <v>9100</v>
      </c>
      <c r="N78" s="607">
        <v>9199</v>
      </c>
      <c r="O78" s="611">
        <v>25</v>
      </c>
      <c r="P78" s="611">
        <v>3</v>
      </c>
      <c r="R78" s="497">
        <f t="shared" si="21"/>
        <v>27133</v>
      </c>
      <c r="T78" s="302">
        <f t="shared" si="22"/>
        <v>27133</v>
      </c>
    </row>
    <row r="79" spans="2:20" ht="14.4">
      <c r="B79" s="604">
        <f t="shared" si="23"/>
        <v>1975</v>
      </c>
      <c r="C79" s="297">
        <f t="shared" si="20"/>
        <v>24</v>
      </c>
      <c r="D79" s="297">
        <f t="shared" si="24"/>
        <v>5</v>
      </c>
      <c r="E79" s="297">
        <f t="shared" si="25"/>
        <v>18</v>
      </c>
      <c r="F79" s="298">
        <f t="shared" si="26"/>
        <v>3</v>
      </c>
      <c r="G79" s="298">
        <f t="shared" si="27"/>
        <v>1</v>
      </c>
      <c r="H79" s="298">
        <f t="shared" si="28"/>
        <v>6</v>
      </c>
      <c r="I79" s="298">
        <f t="shared" si="29"/>
        <v>2</v>
      </c>
      <c r="J79" s="298">
        <f t="shared" si="30"/>
        <v>8</v>
      </c>
      <c r="K79" s="299">
        <f t="shared" si="31"/>
        <v>27483</v>
      </c>
      <c r="M79" s="607">
        <v>9200</v>
      </c>
      <c r="N79" s="607">
        <v>9299</v>
      </c>
      <c r="O79" s="611">
        <v>25</v>
      </c>
      <c r="P79" s="611">
        <v>3</v>
      </c>
      <c r="R79" s="497">
        <f t="shared" si="21"/>
        <v>27483</v>
      </c>
      <c r="T79" s="302">
        <f t="shared" si="22"/>
        <v>27483</v>
      </c>
    </row>
    <row r="80" spans="2:20" ht="14.4">
      <c r="B80" s="604">
        <f t="shared" si="23"/>
        <v>1976</v>
      </c>
      <c r="C80" s="297">
        <f t="shared" si="20"/>
        <v>24</v>
      </c>
      <c r="D80" s="297">
        <f t="shared" si="24"/>
        <v>5</v>
      </c>
      <c r="E80" s="297">
        <f t="shared" si="25"/>
        <v>0</v>
      </c>
      <c r="F80" s="298">
        <f t="shared" si="26"/>
        <v>0</v>
      </c>
      <c r="G80" s="298">
        <f t="shared" si="27"/>
        <v>2</v>
      </c>
      <c r="H80" s="298">
        <f t="shared" si="28"/>
        <v>24</v>
      </c>
      <c r="I80" s="298">
        <f t="shared" si="29"/>
        <v>3</v>
      </c>
      <c r="J80" s="298">
        <f t="shared" si="30"/>
        <v>27</v>
      </c>
      <c r="K80" s="299">
        <f t="shared" si="31"/>
        <v>27868</v>
      </c>
      <c r="M80" s="607">
        <v>9300</v>
      </c>
      <c r="N80" s="607">
        <v>9399</v>
      </c>
      <c r="O80" s="611">
        <v>25</v>
      </c>
      <c r="P80" s="611">
        <v>4</v>
      </c>
      <c r="R80" s="497">
        <f t="shared" si="21"/>
        <v>27868</v>
      </c>
      <c r="T80" s="302">
        <f t="shared" si="22"/>
        <v>27868</v>
      </c>
    </row>
    <row r="81" spans="2:20" ht="14.4">
      <c r="B81" s="604">
        <f t="shared" si="23"/>
        <v>1977</v>
      </c>
      <c r="C81" s="297">
        <f t="shared" si="20"/>
        <v>24</v>
      </c>
      <c r="D81" s="297">
        <f t="shared" si="24"/>
        <v>5</v>
      </c>
      <c r="E81" s="297">
        <f t="shared" si="25"/>
        <v>1</v>
      </c>
      <c r="F81" s="298">
        <f t="shared" si="26"/>
        <v>1</v>
      </c>
      <c r="G81" s="298">
        <f t="shared" si="27"/>
        <v>3</v>
      </c>
      <c r="H81" s="298">
        <f t="shared" si="28"/>
        <v>13</v>
      </c>
      <c r="I81" s="298">
        <f t="shared" si="29"/>
        <v>6</v>
      </c>
      <c r="J81" s="298">
        <f t="shared" si="30"/>
        <v>19</v>
      </c>
      <c r="K81" s="299">
        <f t="shared" si="31"/>
        <v>28225</v>
      </c>
      <c r="M81" s="607">
        <v>9400</v>
      </c>
      <c r="N81" s="607">
        <v>9499</v>
      </c>
      <c r="O81" s="611">
        <v>26</v>
      </c>
      <c r="P81" s="611">
        <v>5</v>
      </c>
      <c r="R81" s="497">
        <f t="shared" si="21"/>
        <v>28225</v>
      </c>
      <c r="T81" s="302">
        <f t="shared" si="22"/>
        <v>28225</v>
      </c>
    </row>
    <row r="82" spans="2:20" ht="14.4">
      <c r="B82" s="604">
        <f t="shared" si="23"/>
        <v>1978</v>
      </c>
      <c r="C82" s="297">
        <f t="shared" si="20"/>
        <v>24</v>
      </c>
      <c r="D82" s="297">
        <f t="shared" si="24"/>
        <v>5</v>
      </c>
      <c r="E82" s="297">
        <f t="shared" si="25"/>
        <v>2</v>
      </c>
      <c r="F82" s="298">
        <f t="shared" si="26"/>
        <v>2</v>
      </c>
      <c r="G82" s="298">
        <f t="shared" si="27"/>
        <v>4</v>
      </c>
      <c r="H82" s="298">
        <f t="shared" si="28"/>
        <v>2</v>
      </c>
      <c r="I82" s="298">
        <f t="shared" si="29"/>
        <v>2</v>
      </c>
      <c r="J82" s="298">
        <f t="shared" si="30"/>
        <v>4</v>
      </c>
      <c r="K82" s="299">
        <f t="shared" si="31"/>
        <v>28575</v>
      </c>
      <c r="M82" s="607">
        <v>9500</v>
      </c>
      <c r="N82" s="607">
        <v>9599</v>
      </c>
      <c r="O82" s="611">
        <v>27</v>
      </c>
      <c r="P82" s="611">
        <v>6</v>
      </c>
      <c r="R82" s="497">
        <f t="shared" si="21"/>
        <v>28575</v>
      </c>
      <c r="T82" s="302">
        <f t="shared" si="22"/>
        <v>28575</v>
      </c>
    </row>
    <row r="83" spans="2:20" ht="14.4">
      <c r="B83" s="604">
        <f t="shared" si="23"/>
        <v>1979</v>
      </c>
      <c r="C83" s="297">
        <f t="shared" si="20"/>
        <v>24</v>
      </c>
      <c r="D83" s="297">
        <f t="shared" si="24"/>
        <v>5</v>
      </c>
      <c r="E83" s="297">
        <f t="shared" si="25"/>
        <v>3</v>
      </c>
      <c r="F83" s="298">
        <f t="shared" si="26"/>
        <v>3</v>
      </c>
      <c r="G83" s="298">
        <f t="shared" si="27"/>
        <v>5</v>
      </c>
      <c r="H83" s="298">
        <f t="shared" si="28"/>
        <v>21</v>
      </c>
      <c r="I83" s="298">
        <f t="shared" si="29"/>
        <v>3</v>
      </c>
      <c r="J83" s="298">
        <f t="shared" si="30"/>
        <v>24</v>
      </c>
      <c r="K83" s="299">
        <f t="shared" si="31"/>
        <v>28960</v>
      </c>
      <c r="M83" s="607">
        <v>9600</v>
      </c>
      <c r="N83" s="607">
        <v>9699</v>
      </c>
      <c r="O83" s="611">
        <v>26</v>
      </c>
      <c r="P83" s="611">
        <v>6</v>
      </c>
      <c r="R83" s="497">
        <f t="shared" si="21"/>
        <v>28960</v>
      </c>
      <c r="T83" s="302">
        <f t="shared" si="22"/>
        <v>28960</v>
      </c>
    </row>
    <row r="84" spans="2:20" ht="14.4">
      <c r="B84" s="604">
        <f t="shared" si="23"/>
        <v>1980</v>
      </c>
      <c r="C84" s="297">
        <f t="shared" si="20"/>
        <v>24</v>
      </c>
      <c r="D84" s="297">
        <f t="shared" si="24"/>
        <v>5</v>
      </c>
      <c r="E84" s="297">
        <f t="shared" si="25"/>
        <v>4</v>
      </c>
      <c r="F84" s="298">
        <f t="shared" si="26"/>
        <v>0</v>
      </c>
      <c r="G84" s="298">
        <f t="shared" si="27"/>
        <v>6</v>
      </c>
      <c r="H84" s="298">
        <f t="shared" si="28"/>
        <v>10</v>
      </c>
      <c r="I84" s="298">
        <f t="shared" si="29"/>
        <v>5</v>
      </c>
      <c r="J84" s="298">
        <f t="shared" si="30"/>
        <v>15</v>
      </c>
      <c r="K84" s="299">
        <f t="shared" si="31"/>
        <v>29317</v>
      </c>
      <c r="M84" s="607">
        <v>9700</v>
      </c>
      <c r="N84" s="607">
        <v>9799</v>
      </c>
      <c r="O84" s="611">
        <v>27</v>
      </c>
      <c r="P84" s="611">
        <v>0</v>
      </c>
      <c r="R84" s="497">
        <f t="shared" si="21"/>
        <v>29317</v>
      </c>
      <c r="T84" s="302">
        <f t="shared" si="22"/>
        <v>29317</v>
      </c>
    </row>
    <row r="85" spans="2:20" ht="14.4">
      <c r="B85" s="604">
        <f t="shared" si="23"/>
        <v>1981</v>
      </c>
      <c r="C85" s="297">
        <f t="shared" si="20"/>
        <v>24</v>
      </c>
      <c r="D85" s="297">
        <f t="shared" si="24"/>
        <v>5</v>
      </c>
      <c r="E85" s="297">
        <f t="shared" si="25"/>
        <v>5</v>
      </c>
      <c r="F85" s="298">
        <f t="shared" si="26"/>
        <v>1</v>
      </c>
      <c r="G85" s="298">
        <f t="shared" si="27"/>
        <v>0</v>
      </c>
      <c r="H85" s="298">
        <f t="shared" si="28"/>
        <v>29</v>
      </c>
      <c r="I85" s="298">
        <f t="shared" si="29"/>
        <v>6</v>
      </c>
      <c r="J85" s="298">
        <f t="shared" si="30"/>
        <v>35</v>
      </c>
      <c r="K85" s="299">
        <f t="shared" si="31"/>
        <v>29695</v>
      </c>
      <c r="M85" s="607">
        <v>9800</v>
      </c>
      <c r="N85" s="607">
        <v>9899</v>
      </c>
      <c r="O85" s="611">
        <v>28</v>
      </c>
      <c r="P85" s="611">
        <v>1</v>
      </c>
      <c r="R85" s="497">
        <f t="shared" si="21"/>
        <v>29702</v>
      </c>
      <c r="T85" s="302">
        <f t="shared" si="22"/>
        <v>29695</v>
      </c>
    </row>
    <row r="86" spans="2:20" ht="14.4">
      <c r="B86" s="604">
        <f t="shared" si="23"/>
        <v>1982</v>
      </c>
      <c r="C86" s="297">
        <f t="shared" si="20"/>
        <v>24</v>
      </c>
      <c r="D86" s="297">
        <f t="shared" si="24"/>
        <v>5</v>
      </c>
      <c r="E86" s="297">
        <f t="shared" si="25"/>
        <v>6</v>
      </c>
      <c r="F86" s="298">
        <f t="shared" si="26"/>
        <v>2</v>
      </c>
      <c r="G86" s="298">
        <f t="shared" si="27"/>
        <v>1</v>
      </c>
      <c r="H86" s="298">
        <f t="shared" si="28"/>
        <v>18</v>
      </c>
      <c r="I86" s="298">
        <f t="shared" si="29"/>
        <v>2</v>
      </c>
      <c r="J86" s="298">
        <f t="shared" si="30"/>
        <v>20</v>
      </c>
      <c r="K86" s="299">
        <f t="shared" si="31"/>
        <v>30052</v>
      </c>
      <c r="M86" s="607">
        <v>9900</v>
      </c>
      <c r="N86" s="607">
        <v>9999</v>
      </c>
      <c r="O86" s="611">
        <v>28</v>
      </c>
      <c r="P86" s="611">
        <v>2</v>
      </c>
      <c r="R86" s="497">
        <f t="shared" si="21"/>
        <v>30052</v>
      </c>
      <c r="T86" s="302">
        <f t="shared" si="22"/>
        <v>30052</v>
      </c>
    </row>
    <row r="87" spans="2:20">
      <c r="B87" s="604">
        <f t="shared" si="23"/>
        <v>1983</v>
      </c>
      <c r="C87" s="297">
        <f t="shared" si="20"/>
        <v>24</v>
      </c>
      <c r="D87" s="297">
        <f t="shared" si="24"/>
        <v>5</v>
      </c>
      <c r="E87" s="297">
        <f t="shared" si="25"/>
        <v>7</v>
      </c>
      <c r="F87" s="298">
        <f t="shared" si="26"/>
        <v>3</v>
      </c>
      <c r="G87" s="298">
        <f t="shared" si="27"/>
        <v>2</v>
      </c>
      <c r="H87" s="298">
        <f t="shared" si="28"/>
        <v>7</v>
      </c>
      <c r="I87" s="298">
        <f t="shared" si="29"/>
        <v>5</v>
      </c>
      <c r="J87" s="298">
        <f t="shared" si="30"/>
        <v>12</v>
      </c>
      <c r="K87" s="299">
        <f t="shared" si="31"/>
        <v>30409</v>
      </c>
      <c r="R87" s="497">
        <f t="shared" si="21"/>
        <v>30409</v>
      </c>
      <c r="T87" s="302">
        <f t="shared" si="22"/>
        <v>30409</v>
      </c>
    </row>
    <row r="88" spans="2:20">
      <c r="B88" s="604">
        <f t="shared" si="23"/>
        <v>1984</v>
      </c>
      <c r="C88" s="297">
        <f t="shared" si="20"/>
        <v>24</v>
      </c>
      <c r="D88" s="297">
        <f t="shared" si="24"/>
        <v>5</v>
      </c>
      <c r="E88" s="297">
        <f t="shared" si="25"/>
        <v>8</v>
      </c>
      <c r="F88" s="298">
        <f t="shared" si="26"/>
        <v>0</v>
      </c>
      <c r="G88" s="298">
        <f t="shared" si="27"/>
        <v>3</v>
      </c>
      <c r="H88" s="298">
        <f t="shared" si="28"/>
        <v>26</v>
      </c>
      <c r="I88" s="298">
        <f t="shared" si="29"/>
        <v>5</v>
      </c>
      <c r="J88" s="298">
        <f t="shared" si="30"/>
        <v>31</v>
      </c>
      <c r="K88" s="299">
        <f t="shared" si="31"/>
        <v>30794</v>
      </c>
      <c r="R88" s="497">
        <f t="shared" si="21"/>
        <v>30794</v>
      </c>
      <c r="T88" s="302">
        <f t="shared" si="22"/>
        <v>30794</v>
      </c>
    </row>
    <row r="89" spans="2:20">
      <c r="B89" s="604">
        <f t="shared" si="23"/>
        <v>1985</v>
      </c>
      <c r="C89" s="297">
        <f t="shared" si="20"/>
        <v>24</v>
      </c>
      <c r="D89" s="297">
        <f t="shared" si="24"/>
        <v>5</v>
      </c>
      <c r="E89" s="297">
        <f t="shared" si="25"/>
        <v>9</v>
      </c>
      <c r="F89" s="298">
        <f t="shared" si="26"/>
        <v>1</v>
      </c>
      <c r="G89" s="298">
        <f t="shared" si="27"/>
        <v>4</v>
      </c>
      <c r="H89" s="298">
        <f t="shared" si="28"/>
        <v>15</v>
      </c>
      <c r="I89" s="298">
        <f t="shared" si="29"/>
        <v>1</v>
      </c>
      <c r="J89" s="298">
        <f t="shared" si="30"/>
        <v>16</v>
      </c>
      <c r="K89" s="299">
        <f t="shared" si="31"/>
        <v>31144</v>
      </c>
      <c r="R89" s="497">
        <f t="shared" si="21"/>
        <v>31144</v>
      </c>
      <c r="T89" s="302">
        <f t="shared" si="22"/>
        <v>31144</v>
      </c>
    </row>
    <row r="90" spans="2:20">
      <c r="B90" s="604">
        <f t="shared" si="23"/>
        <v>1986</v>
      </c>
      <c r="C90" s="297">
        <f t="shared" si="20"/>
        <v>24</v>
      </c>
      <c r="D90" s="297">
        <f t="shared" si="24"/>
        <v>5</v>
      </c>
      <c r="E90" s="297">
        <f t="shared" si="25"/>
        <v>10</v>
      </c>
      <c r="F90" s="298">
        <f t="shared" si="26"/>
        <v>2</v>
      </c>
      <c r="G90" s="298">
        <f t="shared" si="27"/>
        <v>5</v>
      </c>
      <c r="H90" s="298">
        <f t="shared" si="28"/>
        <v>4</v>
      </c>
      <c r="I90" s="298">
        <f t="shared" si="29"/>
        <v>4</v>
      </c>
      <c r="J90" s="298">
        <f t="shared" si="30"/>
        <v>8</v>
      </c>
      <c r="K90" s="299">
        <f t="shared" si="31"/>
        <v>31501</v>
      </c>
      <c r="R90" s="497">
        <f t="shared" si="21"/>
        <v>31501</v>
      </c>
      <c r="T90" s="302">
        <f t="shared" si="22"/>
        <v>31501</v>
      </c>
    </row>
    <row r="91" spans="2:20">
      <c r="B91" s="604">
        <f t="shared" si="23"/>
        <v>1987</v>
      </c>
      <c r="C91" s="297">
        <f t="shared" si="20"/>
        <v>24</v>
      </c>
      <c r="D91" s="297">
        <f t="shared" si="24"/>
        <v>5</v>
      </c>
      <c r="E91" s="297">
        <f t="shared" si="25"/>
        <v>11</v>
      </c>
      <c r="F91" s="298">
        <f t="shared" si="26"/>
        <v>3</v>
      </c>
      <c r="G91" s="298">
        <f t="shared" si="27"/>
        <v>6</v>
      </c>
      <c r="H91" s="298">
        <f t="shared" si="28"/>
        <v>23</v>
      </c>
      <c r="I91" s="298">
        <f t="shared" si="29"/>
        <v>5</v>
      </c>
      <c r="J91" s="298">
        <f t="shared" si="30"/>
        <v>28</v>
      </c>
      <c r="K91" s="299">
        <f t="shared" si="31"/>
        <v>31886</v>
      </c>
      <c r="R91" s="497">
        <f t="shared" si="21"/>
        <v>31886</v>
      </c>
      <c r="T91" s="302">
        <f t="shared" si="22"/>
        <v>31886</v>
      </c>
    </row>
    <row r="92" spans="2:20">
      <c r="B92" s="604">
        <f t="shared" si="23"/>
        <v>1988</v>
      </c>
      <c r="C92" s="297">
        <f t="shared" si="20"/>
        <v>24</v>
      </c>
      <c r="D92" s="297">
        <f t="shared" si="24"/>
        <v>5</v>
      </c>
      <c r="E92" s="297">
        <f t="shared" si="25"/>
        <v>12</v>
      </c>
      <c r="F92" s="298">
        <f t="shared" si="26"/>
        <v>0</v>
      </c>
      <c r="G92" s="298">
        <f t="shared" si="27"/>
        <v>0</v>
      </c>
      <c r="H92" s="298">
        <f t="shared" si="28"/>
        <v>12</v>
      </c>
      <c r="I92" s="298">
        <f t="shared" si="29"/>
        <v>0</v>
      </c>
      <c r="J92" s="298">
        <f t="shared" si="30"/>
        <v>12</v>
      </c>
      <c r="K92" s="299">
        <f t="shared" si="31"/>
        <v>32236</v>
      </c>
      <c r="R92" s="497">
        <f t="shared" si="21"/>
        <v>32236</v>
      </c>
      <c r="T92" s="302">
        <f t="shared" si="22"/>
        <v>32236</v>
      </c>
    </row>
    <row r="93" spans="2:20">
      <c r="B93" s="604">
        <f t="shared" si="23"/>
        <v>1989</v>
      </c>
      <c r="C93" s="297">
        <f t="shared" si="20"/>
        <v>24</v>
      </c>
      <c r="D93" s="297">
        <f t="shared" si="24"/>
        <v>5</v>
      </c>
      <c r="E93" s="297">
        <f t="shared" si="25"/>
        <v>13</v>
      </c>
      <c r="F93" s="298">
        <f t="shared" si="26"/>
        <v>1</v>
      </c>
      <c r="G93" s="298">
        <f t="shared" si="27"/>
        <v>1</v>
      </c>
      <c r="H93" s="298">
        <f t="shared" si="28"/>
        <v>1</v>
      </c>
      <c r="I93" s="298">
        <f t="shared" si="29"/>
        <v>3</v>
      </c>
      <c r="J93" s="298">
        <f t="shared" si="30"/>
        <v>4</v>
      </c>
      <c r="K93" s="299">
        <f t="shared" si="31"/>
        <v>32593</v>
      </c>
      <c r="R93" s="497">
        <f t="shared" si="21"/>
        <v>32593</v>
      </c>
      <c r="T93" s="302">
        <f t="shared" si="22"/>
        <v>32593</v>
      </c>
    </row>
    <row r="94" spans="2:20">
      <c r="B94" s="604">
        <f t="shared" si="23"/>
        <v>1990</v>
      </c>
      <c r="C94" s="297">
        <f t="shared" si="20"/>
        <v>24</v>
      </c>
      <c r="D94" s="297">
        <f t="shared" si="24"/>
        <v>5</v>
      </c>
      <c r="E94" s="297">
        <f t="shared" si="25"/>
        <v>14</v>
      </c>
      <c r="F94" s="298">
        <f t="shared" si="26"/>
        <v>2</v>
      </c>
      <c r="G94" s="298">
        <f t="shared" si="27"/>
        <v>2</v>
      </c>
      <c r="H94" s="298">
        <f t="shared" si="28"/>
        <v>20</v>
      </c>
      <c r="I94" s="298">
        <f t="shared" si="29"/>
        <v>4</v>
      </c>
      <c r="J94" s="298">
        <f t="shared" si="30"/>
        <v>24</v>
      </c>
      <c r="K94" s="299">
        <f t="shared" si="31"/>
        <v>32978</v>
      </c>
      <c r="R94" s="497">
        <f t="shared" si="21"/>
        <v>32978</v>
      </c>
      <c r="T94" s="302">
        <f t="shared" si="22"/>
        <v>32978</v>
      </c>
    </row>
    <row r="95" spans="2:20">
      <c r="B95" s="604">
        <f t="shared" si="23"/>
        <v>1991</v>
      </c>
      <c r="C95" s="297">
        <f t="shared" si="20"/>
        <v>24</v>
      </c>
      <c r="D95" s="297">
        <f t="shared" si="24"/>
        <v>5</v>
      </c>
      <c r="E95" s="297">
        <f t="shared" si="25"/>
        <v>15</v>
      </c>
      <c r="F95" s="298">
        <f t="shared" si="26"/>
        <v>3</v>
      </c>
      <c r="G95" s="298">
        <f t="shared" si="27"/>
        <v>3</v>
      </c>
      <c r="H95" s="298">
        <f t="shared" si="28"/>
        <v>9</v>
      </c>
      <c r="I95" s="298">
        <f t="shared" si="29"/>
        <v>0</v>
      </c>
      <c r="J95" s="298">
        <f t="shared" si="30"/>
        <v>9</v>
      </c>
      <c r="K95" s="299">
        <f t="shared" si="31"/>
        <v>33328</v>
      </c>
      <c r="R95" s="497">
        <f t="shared" si="21"/>
        <v>33328</v>
      </c>
      <c r="T95" s="302">
        <f t="shared" si="22"/>
        <v>33328</v>
      </c>
    </row>
    <row r="96" spans="2:20">
      <c r="B96" s="604">
        <f t="shared" si="23"/>
        <v>1992</v>
      </c>
      <c r="C96" s="297">
        <f t="shared" si="20"/>
        <v>24</v>
      </c>
      <c r="D96" s="297">
        <f t="shared" si="24"/>
        <v>5</v>
      </c>
      <c r="E96" s="297">
        <f t="shared" si="25"/>
        <v>16</v>
      </c>
      <c r="F96" s="298">
        <f t="shared" si="26"/>
        <v>0</v>
      </c>
      <c r="G96" s="298">
        <f t="shared" si="27"/>
        <v>4</v>
      </c>
      <c r="H96" s="298">
        <f t="shared" si="28"/>
        <v>28</v>
      </c>
      <c r="I96" s="298">
        <f t="shared" si="29"/>
        <v>0</v>
      </c>
      <c r="J96" s="298">
        <f t="shared" si="30"/>
        <v>28</v>
      </c>
      <c r="K96" s="299">
        <f t="shared" si="31"/>
        <v>33713</v>
      </c>
      <c r="R96" s="497">
        <f t="shared" si="21"/>
        <v>33713</v>
      </c>
      <c r="T96" s="302">
        <f t="shared" si="22"/>
        <v>33713</v>
      </c>
    </row>
    <row r="97" spans="2:20">
      <c r="B97" s="604">
        <f t="shared" si="23"/>
        <v>1993</v>
      </c>
      <c r="C97" s="297">
        <f t="shared" si="20"/>
        <v>24</v>
      </c>
      <c r="D97" s="297">
        <f t="shared" si="24"/>
        <v>5</v>
      </c>
      <c r="E97" s="297">
        <f t="shared" si="25"/>
        <v>17</v>
      </c>
      <c r="F97" s="298">
        <f t="shared" si="26"/>
        <v>1</v>
      </c>
      <c r="G97" s="298">
        <f t="shared" si="27"/>
        <v>5</v>
      </c>
      <c r="H97" s="298">
        <f t="shared" si="28"/>
        <v>17</v>
      </c>
      <c r="I97" s="298">
        <f t="shared" si="29"/>
        <v>3</v>
      </c>
      <c r="J97" s="298">
        <f t="shared" si="30"/>
        <v>20</v>
      </c>
      <c r="K97" s="299">
        <f t="shared" si="31"/>
        <v>34070</v>
      </c>
      <c r="R97" s="497">
        <f t="shared" si="21"/>
        <v>34070</v>
      </c>
      <c r="T97" s="302">
        <f t="shared" si="22"/>
        <v>34070</v>
      </c>
    </row>
    <row r="98" spans="2:20">
      <c r="B98" s="604">
        <f t="shared" si="23"/>
        <v>1994</v>
      </c>
      <c r="C98" s="297">
        <f t="shared" si="20"/>
        <v>24</v>
      </c>
      <c r="D98" s="297">
        <f t="shared" si="24"/>
        <v>5</v>
      </c>
      <c r="E98" s="297">
        <f t="shared" si="25"/>
        <v>18</v>
      </c>
      <c r="F98" s="298">
        <f t="shared" si="26"/>
        <v>2</v>
      </c>
      <c r="G98" s="298">
        <f t="shared" si="27"/>
        <v>6</v>
      </c>
      <c r="H98" s="298">
        <f t="shared" si="28"/>
        <v>6</v>
      </c>
      <c r="I98" s="298">
        <f t="shared" si="29"/>
        <v>6</v>
      </c>
      <c r="J98" s="298">
        <f t="shared" si="30"/>
        <v>12</v>
      </c>
      <c r="K98" s="299">
        <f t="shared" si="31"/>
        <v>34427</v>
      </c>
      <c r="R98" s="497">
        <f t="shared" si="21"/>
        <v>34427</v>
      </c>
      <c r="T98" s="302">
        <f t="shared" si="22"/>
        <v>34427</v>
      </c>
    </row>
    <row r="99" spans="2:20">
      <c r="B99" s="604">
        <f t="shared" si="23"/>
        <v>1995</v>
      </c>
      <c r="C99" s="297">
        <f t="shared" si="20"/>
        <v>24</v>
      </c>
      <c r="D99" s="297">
        <f t="shared" si="24"/>
        <v>5</v>
      </c>
      <c r="E99" s="297">
        <f t="shared" si="25"/>
        <v>0</v>
      </c>
      <c r="F99" s="298">
        <f t="shared" si="26"/>
        <v>3</v>
      </c>
      <c r="G99" s="298">
        <f t="shared" si="27"/>
        <v>0</v>
      </c>
      <c r="H99" s="298">
        <f t="shared" si="28"/>
        <v>24</v>
      </c>
      <c r="I99" s="298">
        <f t="shared" si="29"/>
        <v>1</v>
      </c>
      <c r="J99" s="298">
        <f t="shared" si="30"/>
        <v>25</v>
      </c>
      <c r="K99" s="299">
        <f t="shared" si="31"/>
        <v>34805</v>
      </c>
      <c r="R99" s="497">
        <f t="shared" si="21"/>
        <v>34805</v>
      </c>
      <c r="T99" s="302">
        <f t="shared" si="22"/>
        <v>34805</v>
      </c>
    </row>
    <row r="100" spans="2:20">
      <c r="B100" s="604">
        <f t="shared" si="23"/>
        <v>1996</v>
      </c>
      <c r="C100" s="297">
        <f t="shared" si="20"/>
        <v>24</v>
      </c>
      <c r="D100" s="297">
        <f t="shared" si="24"/>
        <v>5</v>
      </c>
      <c r="E100" s="297">
        <f t="shared" si="25"/>
        <v>1</v>
      </c>
      <c r="F100" s="298">
        <f t="shared" si="26"/>
        <v>0</v>
      </c>
      <c r="G100" s="298">
        <f t="shared" si="27"/>
        <v>1</v>
      </c>
      <c r="H100" s="298">
        <f t="shared" si="28"/>
        <v>13</v>
      </c>
      <c r="I100" s="298">
        <f t="shared" si="29"/>
        <v>3</v>
      </c>
      <c r="J100" s="298">
        <f t="shared" si="30"/>
        <v>16</v>
      </c>
      <c r="K100" s="299">
        <f t="shared" si="31"/>
        <v>35162</v>
      </c>
      <c r="R100" s="497">
        <f t="shared" si="21"/>
        <v>35162</v>
      </c>
      <c r="T100" s="302">
        <f t="shared" si="22"/>
        <v>35162</v>
      </c>
    </row>
    <row r="101" spans="2:20">
      <c r="B101" s="604">
        <f t="shared" si="23"/>
        <v>1997</v>
      </c>
      <c r="C101" s="297">
        <f t="shared" si="20"/>
        <v>24</v>
      </c>
      <c r="D101" s="297">
        <f t="shared" si="24"/>
        <v>5</v>
      </c>
      <c r="E101" s="297">
        <f t="shared" si="25"/>
        <v>2</v>
      </c>
      <c r="F101" s="298">
        <f t="shared" si="26"/>
        <v>1</v>
      </c>
      <c r="G101" s="298">
        <f t="shared" si="27"/>
        <v>2</v>
      </c>
      <c r="H101" s="298">
        <f t="shared" si="28"/>
        <v>2</v>
      </c>
      <c r="I101" s="298">
        <f t="shared" si="29"/>
        <v>6</v>
      </c>
      <c r="J101" s="298">
        <f t="shared" si="30"/>
        <v>8</v>
      </c>
      <c r="K101" s="299">
        <f t="shared" si="31"/>
        <v>35519</v>
      </c>
      <c r="R101" s="497">
        <f t="shared" si="21"/>
        <v>35519</v>
      </c>
      <c r="T101" s="302">
        <f t="shared" si="22"/>
        <v>35519</v>
      </c>
    </row>
    <row r="102" spans="2:20">
      <c r="B102" s="604">
        <f t="shared" si="23"/>
        <v>1998</v>
      </c>
      <c r="C102" s="297">
        <f t="shared" si="20"/>
        <v>24</v>
      </c>
      <c r="D102" s="297">
        <f t="shared" si="24"/>
        <v>5</v>
      </c>
      <c r="E102" s="297">
        <f t="shared" si="25"/>
        <v>3</v>
      </c>
      <c r="F102" s="298">
        <f t="shared" si="26"/>
        <v>2</v>
      </c>
      <c r="G102" s="298">
        <f t="shared" si="27"/>
        <v>3</v>
      </c>
      <c r="H102" s="298">
        <f t="shared" si="28"/>
        <v>21</v>
      </c>
      <c r="I102" s="298">
        <f t="shared" si="29"/>
        <v>0</v>
      </c>
      <c r="J102" s="298">
        <f t="shared" si="30"/>
        <v>21</v>
      </c>
      <c r="K102" s="299">
        <f t="shared" si="31"/>
        <v>35897</v>
      </c>
      <c r="R102" s="497">
        <f t="shared" si="21"/>
        <v>35897</v>
      </c>
      <c r="T102" s="302">
        <f t="shared" si="22"/>
        <v>35897</v>
      </c>
    </row>
    <row r="103" spans="2:20">
      <c r="B103" s="604">
        <f t="shared" si="23"/>
        <v>1999</v>
      </c>
      <c r="C103" s="297">
        <f t="shared" si="20"/>
        <v>24</v>
      </c>
      <c r="D103" s="297">
        <f t="shared" si="24"/>
        <v>5</v>
      </c>
      <c r="E103" s="297">
        <f t="shared" si="25"/>
        <v>4</v>
      </c>
      <c r="F103" s="298">
        <f t="shared" si="26"/>
        <v>3</v>
      </c>
      <c r="G103" s="298">
        <f t="shared" si="27"/>
        <v>4</v>
      </c>
      <c r="H103" s="298">
        <f t="shared" si="28"/>
        <v>10</v>
      </c>
      <c r="I103" s="298">
        <f t="shared" si="29"/>
        <v>3</v>
      </c>
      <c r="J103" s="298">
        <f t="shared" si="30"/>
        <v>13</v>
      </c>
      <c r="K103" s="299">
        <f t="shared" si="31"/>
        <v>36254</v>
      </c>
      <c r="R103" s="497">
        <f t="shared" si="21"/>
        <v>36254</v>
      </c>
      <c r="T103" s="302">
        <f t="shared" si="22"/>
        <v>36254</v>
      </c>
    </row>
    <row r="104" spans="2:20">
      <c r="B104" s="604">
        <f t="shared" si="23"/>
        <v>2000</v>
      </c>
      <c r="C104" s="297">
        <f t="shared" si="20"/>
        <v>24</v>
      </c>
      <c r="D104" s="297">
        <f t="shared" si="24"/>
        <v>5</v>
      </c>
      <c r="E104" s="297">
        <f t="shared" si="25"/>
        <v>5</v>
      </c>
      <c r="F104" s="298">
        <f t="shared" si="26"/>
        <v>0</v>
      </c>
      <c r="G104" s="298">
        <f t="shared" si="27"/>
        <v>5</v>
      </c>
      <c r="H104" s="298">
        <f t="shared" si="28"/>
        <v>29</v>
      </c>
      <c r="I104" s="298">
        <f t="shared" si="29"/>
        <v>3</v>
      </c>
      <c r="J104" s="298">
        <f t="shared" si="30"/>
        <v>32</v>
      </c>
      <c r="K104" s="299">
        <f t="shared" si="31"/>
        <v>36639</v>
      </c>
      <c r="R104" s="497">
        <f t="shared" si="21"/>
        <v>36639</v>
      </c>
      <c r="T104" s="302">
        <f t="shared" si="22"/>
        <v>36639</v>
      </c>
    </row>
    <row r="105" spans="2:20">
      <c r="B105" s="604">
        <f t="shared" si="23"/>
        <v>2001</v>
      </c>
      <c r="C105" s="297">
        <f t="shared" si="20"/>
        <v>24</v>
      </c>
      <c r="D105" s="297">
        <f t="shared" si="24"/>
        <v>5</v>
      </c>
      <c r="E105" s="297">
        <f t="shared" si="25"/>
        <v>6</v>
      </c>
      <c r="F105" s="298">
        <f t="shared" si="26"/>
        <v>1</v>
      </c>
      <c r="G105" s="298">
        <f t="shared" si="27"/>
        <v>6</v>
      </c>
      <c r="H105" s="298">
        <f t="shared" si="28"/>
        <v>18</v>
      </c>
      <c r="I105" s="298">
        <f t="shared" si="29"/>
        <v>6</v>
      </c>
      <c r="J105" s="298">
        <f t="shared" si="30"/>
        <v>24</v>
      </c>
      <c r="K105" s="299">
        <f t="shared" si="31"/>
        <v>36996</v>
      </c>
      <c r="R105" s="497">
        <f t="shared" si="21"/>
        <v>36996</v>
      </c>
      <c r="T105" s="302">
        <f t="shared" si="22"/>
        <v>36996</v>
      </c>
    </row>
    <row r="106" spans="2:20">
      <c r="B106" s="604">
        <f t="shared" si="23"/>
        <v>2002</v>
      </c>
      <c r="C106" s="297">
        <f t="shared" si="20"/>
        <v>24</v>
      </c>
      <c r="D106" s="297">
        <f t="shared" si="24"/>
        <v>5</v>
      </c>
      <c r="E106" s="297">
        <f t="shared" si="25"/>
        <v>7</v>
      </c>
      <c r="F106" s="298">
        <f t="shared" si="26"/>
        <v>2</v>
      </c>
      <c r="G106" s="298">
        <f t="shared" si="27"/>
        <v>0</v>
      </c>
      <c r="H106" s="298">
        <f t="shared" si="28"/>
        <v>7</v>
      </c>
      <c r="I106" s="298">
        <f t="shared" si="29"/>
        <v>2</v>
      </c>
      <c r="J106" s="298">
        <f t="shared" si="30"/>
        <v>9</v>
      </c>
      <c r="K106" s="299">
        <f t="shared" si="31"/>
        <v>37346</v>
      </c>
      <c r="R106" s="497">
        <f t="shared" si="21"/>
        <v>37346</v>
      </c>
      <c r="T106" s="302">
        <f t="shared" si="22"/>
        <v>37346</v>
      </c>
    </row>
    <row r="107" spans="2:20">
      <c r="B107" s="604">
        <f t="shared" si="23"/>
        <v>2003</v>
      </c>
      <c r="C107" s="297">
        <f t="shared" si="20"/>
        <v>24</v>
      </c>
      <c r="D107" s="297">
        <f t="shared" si="24"/>
        <v>5</v>
      </c>
      <c r="E107" s="297">
        <f t="shared" si="25"/>
        <v>8</v>
      </c>
      <c r="F107" s="298">
        <f t="shared" si="26"/>
        <v>3</v>
      </c>
      <c r="G107" s="298">
        <f t="shared" si="27"/>
        <v>1</v>
      </c>
      <c r="H107" s="298">
        <f t="shared" si="28"/>
        <v>26</v>
      </c>
      <c r="I107" s="298">
        <f t="shared" si="29"/>
        <v>3</v>
      </c>
      <c r="J107" s="298">
        <f t="shared" si="30"/>
        <v>29</v>
      </c>
      <c r="K107" s="299">
        <f t="shared" si="31"/>
        <v>37731</v>
      </c>
      <c r="R107" s="497">
        <f t="shared" si="21"/>
        <v>37731</v>
      </c>
      <c r="T107" s="302">
        <f t="shared" si="22"/>
        <v>37731</v>
      </c>
    </row>
    <row r="108" spans="2:20">
      <c r="B108" s="604">
        <f t="shared" si="23"/>
        <v>2004</v>
      </c>
      <c r="C108" s="297">
        <f t="shared" si="20"/>
        <v>24</v>
      </c>
      <c r="D108" s="297">
        <f t="shared" si="24"/>
        <v>5</v>
      </c>
      <c r="E108" s="297">
        <f t="shared" si="25"/>
        <v>9</v>
      </c>
      <c r="F108" s="298">
        <f t="shared" si="26"/>
        <v>0</v>
      </c>
      <c r="G108" s="298">
        <f t="shared" si="27"/>
        <v>2</v>
      </c>
      <c r="H108" s="298">
        <f t="shared" si="28"/>
        <v>15</v>
      </c>
      <c r="I108" s="298">
        <f t="shared" si="29"/>
        <v>5</v>
      </c>
      <c r="J108" s="298">
        <f t="shared" si="30"/>
        <v>20</v>
      </c>
      <c r="K108" s="299">
        <f t="shared" si="31"/>
        <v>38088</v>
      </c>
      <c r="R108" s="497">
        <f t="shared" si="21"/>
        <v>38088</v>
      </c>
      <c r="T108" s="302">
        <f t="shared" si="22"/>
        <v>38088</v>
      </c>
    </row>
    <row r="109" spans="2:20">
      <c r="B109" s="604">
        <f t="shared" si="23"/>
        <v>2005</v>
      </c>
      <c r="C109" s="297">
        <f t="shared" si="20"/>
        <v>24</v>
      </c>
      <c r="D109" s="297">
        <f t="shared" si="24"/>
        <v>5</v>
      </c>
      <c r="E109" s="297">
        <f t="shared" si="25"/>
        <v>10</v>
      </c>
      <c r="F109" s="298">
        <f t="shared" si="26"/>
        <v>1</v>
      </c>
      <c r="G109" s="298">
        <f t="shared" si="27"/>
        <v>3</v>
      </c>
      <c r="H109" s="298">
        <f t="shared" si="28"/>
        <v>4</v>
      </c>
      <c r="I109" s="298">
        <f t="shared" si="29"/>
        <v>1</v>
      </c>
      <c r="J109" s="298">
        <f t="shared" si="30"/>
        <v>5</v>
      </c>
      <c r="K109" s="299">
        <f t="shared" si="31"/>
        <v>38438</v>
      </c>
      <c r="R109" s="497">
        <f t="shared" si="21"/>
        <v>38438</v>
      </c>
      <c r="T109" s="302">
        <f t="shared" si="22"/>
        <v>38438</v>
      </c>
    </row>
    <row r="110" spans="2:20">
      <c r="B110" s="604">
        <f t="shared" si="23"/>
        <v>2006</v>
      </c>
      <c r="C110" s="297">
        <f t="shared" si="20"/>
        <v>24</v>
      </c>
      <c r="D110" s="297">
        <f t="shared" si="24"/>
        <v>5</v>
      </c>
      <c r="E110" s="297">
        <f t="shared" si="25"/>
        <v>11</v>
      </c>
      <c r="F110" s="298">
        <f t="shared" si="26"/>
        <v>2</v>
      </c>
      <c r="G110" s="298">
        <f t="shared" si="27"/>
        <v>4</v>
      </c>
      <c r="H110" s="298">
        <f t="shared" si="28"/>
        <v>23</v>
      </c>
      <c r="I110" s="298">
        <f t="shared" si="29"/>
        <v>2</v>
      </c>
      <c r="J110" s="298">
        <f t="shared" si="30"/>
        <v>25</v>
      </c>
      <c r="K110" s="299">
        <f t="shared" si="31"/>
        <v>38823</v>
      </c>
      <c r="R110" s="497">
        <f t="shared" si="21"/>
        <v>38823</v>
      </c>
      <c r="T110" s="302">
        <f t="shared" si="22"/>
        <v>38823</v>
      </c>
    </row>
    <row r="111" spans="2:20">
      <c r="B111" s="604">
        <f t="shared" si="23"/>
        <v>2007</v>
      </c>
      <c r="C111" s="297">
        <f t="shared" si="20"/>
        <v>24</v>
      </c>
      <c r="D111" s="297">
        <f t="shared" si="24"/>
        <v>5</v>
      </c>
      <c r="E111" s="297">
        <f t="shared" si="25"/>
        <v>12</v>
      </c>
      <c r="F111" s="298">
        <f t="shared" si="26"/>
        <v>3</v>
      </c>
      <c r="G111" s="298">
        <f t="shared" si="27"/>
        <v>5</v>
      </c>
      <c r="H111" s="298">
        <f t="shared" si="28"/>
        <v>12</v>
      </c>
      <c r="I111" s="298">
        <f t="shared" si="29"/>
        <v>5</v>
      </c>
      <c r="J111" s="298">
        <f t="shared" si="30"/>
        <v>17</v>
      </c>
      <c r="K111" s="299">
        <f t="shared" si="31"/>
        <v>39180</v>
      </c>
      <c r="R111" s="497">
        <f t="shared" si="21"/>
        <v>39180</v>
      </c>
      <c r="T111" s="302">
        <f t="shared" si="22"/>
        <v>39180</v>
      </c>
    </row>
    <row r="112" spans="2:20">
      <c r="B112" s="604">
        <f t="shared" si="23"/>
        <v>2008</v>
      </c>
      <c r="C112" s="297">
        <f t="shared" si="20"/>
        <v>24</v>
      </c>
      <c r="D112" s="297">
        <f t="shared" si="24"/>
        <v>5</v>
      </c>
      <c r="E112" s="297">
        <f t="shared" si="25"/>
        <v>13</v>
      </c>
      <c r="F112" s="298">
        <f t="shared" si="26"/>
        <v>0</v>
      </c>
      <c r="G112" s="298">
        <f t="shared" si="27"/>
        <v>6</v>
      </c>
      <c r="H112" s="298">
        <f t="shared" si="28"/>
        <v>1</v>
      </c>
      <c r="I112" s="298">
        <f t="shared" si="29"/>
        <v>0</v>
      </c>
      <c r="J112" s="298">
        <f t="shared" si="30"/>
        <v>1</v>
      </c>
      <c r="K112" s="299">
        <f t="shared" si="31"/>
        <v>39530</v>
      </c>
      <c r="R112" s="497">
        <f t="shared" si="21"/>
        <v>39530</v>
      </c>
      <c r="T112" s="302">
        <f t="shared" si="22"/>
        <v>39530</v>
      </c>
    </row>
    <row r="113" spans="2:20">
      <c r="B113" s="604">
        <f t="shared" si="23"/>
        <v>2009</v>
      </c>
      <c r="C113" s="297">
        <f t="shared" si="20"/>
        <v>24</v>
      </c>
      <c r="D113" s="297">
        <f t="shared" si="24"/>
        <v>5</v>
      </c>
      <c r="E113" s="297">
        <f t="shared" si="25"/>
        <v>14</v>
      </c>
      <c r="F113" s="298">
        <f t="shared" si="26"/>
        <v>1</v>
      </c>
      <c r="G113" s="298">
        <f t="shared" si="27"/>
        <v>0</v>
      </c>
      <c r="H113" s="298">
        <f t="shared" si="28"/>
        <v>20</v>
      </c>
      <c r="I113" s="298">
        <f t="shared" si="29"/>
        <v>1</v>
      </c>
      <c r="J113" s="298">
        <f t="shared" si="30"/>
        <v>21</v>
      </c>
      <c r="K113" s="299">
        <f t="shared" si="31"/>
        <v>39915</v>
      </c>
      <c r="R113" s="497">
        <f t="shared" si="21"/>
        <v>39915</v>
      </c>
      <c r="T113" s="302">
        <f t="shared" si="22"/>
        <v>39915</v>
      </c>
    </row>
    <row r="114" spans="2:20">
      <c r="B114" s="604">
        <f t="shared" si="23"/>
        <v>2010</v>
      </c>
      <c r="C114" s="297">
        <f t="shared" si="20"/>
        <v>24</v>
      </c>
      <c r="D114" s="297">
        <f t="shared" si="24"/>
        <v>5</v>
      </c>
      <c r="E114" s="297">
        <f t="shared" si="25"/>
        <v>15</v>
      </c>
      <c r="F114" s="298">
        <f t="shared" si="26"/>
        <v>2</v>
      </c>
      <c r="G114" s="298">
        <f t="shared" si="27"/>
        <v>1</v>
      </c>
      <c r="H114" s="298">
        <f t="shared" si="28"/>
        <v>9</v>
      </c>
      <c r="I114" s="298">
        <f t="shared" si="29"/>
        <v>4</v>
      </c>
      <c r="J114" s="298">
        <f t="shared" si="30"/>
        <v>13</v>
      </c>
      <c r="K114" s="299">
        <f t="shared" si="31"/>
        <v>40272</v>
      </c>
      <c r="R114" s="497">
        <f t="shared" si="21"/>
        <v>40272</v>
      </c>
      <c r="T114" s="302">
        <f t="shared" si="22"/>
        <v>40272</v>
      </c>
    </row>
    <row r="115" spans="2:20">
      <c r="B115" s="604">
        <f t="shared" si="23"/>
        <v>2011</v>
      </c>
      <c r="C115" s="297">
        <f t="shared" si="20"/>
        <v>24</v>
      </c>
      <c r="D115" s="297">
        <f t="shared" si="24"/>
        <v>5</v>
      </c>
      <c r="E115" s="297">
        <f t="shared" si="25"/>
        <v>16</v>
      </c>
      <c r="F115" s="298">
        <f t="shared" si="26"/>
        <v>3</v>
      </c>
      <c r="G115" s="298">
        <f t="shared" si="27"/>
        <v>2</v>
      </c>
      <c r="H115" s="298">
        <f t="shared" si="28"/>
        <v>28</v>
      </c>
      <c r="I115" s="298">
        <f t="shared" si="29"/>
        <v>5</v>
      </c>
      <c r="J115" s="298">
        <f t="shared" si="30"/>
        <v>33</v>
      </c>
      <c r="K115" s="299">
        <f t="shared" si="31"/>
        <v>40657</v>
      </c>
      <c r="R115" s="497">
        <f t="shared" si="21"/>
        <v>40657</v>
      </c>
      <c r="T115" s="302">
        <f t="shared" si="22"/>
        <v>40657</v>
      </c>
    </row>
    <row r="116" spans="2:20">
      <c r="B116" s="604">
        <f t="shared" si="23"/>
        <v>2012</v>
      </c>
      <c r="C116" s="297">
        <f t="shared" si="20"/>
        <v>24</v>
      </c>
      <c r="D116" s="297">
        <f t="shared" si="24"/>
        <v>5</v>
      </c>
      <c r="E116" s="297">
        <f t="shared" si="25"/>
        <v>17</v>
      </c>
      <c r="F116" s="298">
        <f t="shared" si="26"/>
        <v>0</v>
      </c>
      <c r="G116" s="298">
        <f t="shared" si="27"/>
        <v>3</v>
      </c>
      <c r="H116" s="298">
        <f t="shared" si="28"/>
        <v>17</v>
      </c>
      <c r="I116" s="298">
        <f t="shared" si="29"/>
        <v>0</v>
      </c>
      <c r="J116" s="298">
        <f t="shared" si="30"/>
        <v>17</v>
      </c>
      <c r="K116" s="299">
        <f t="shared" si="31"/>
        <v>41007</v>
      </c>
      <c r="R116" s="497">
        <f t="shared" si="21"/>
        <v>41007</v>
      </c>
      <c r="T116" s="302">
        <f t="shared" si="22"/>
        <v>41007</v>
      </c>
    </row>
    <row r="117" spans="2:20">
      <c r="B117" s="604">
        <f t="shared" si="23"/>
        <v>2013</v>
      </c>
      <c r="C117" s="297">
        <f t="shared" si="20"/>
        <v>24</v>
      </c>
      <c r="D117" s="297">
        <f t="shared" si="24"/>
        <v>5</v>
      </c>
      <c r="E117" s="297">
        <f t="shared" si="25"/>
        <v>18</v>
      </c>
      <c r="F117" s="298">
        <f t="shared" si="26"/>
        <v>1</v>
      </c>
      <c r="G117" s="298">
        <f t="shared" si="27"/>
        <v>4</v>
      </c>
      <c r="H117" s="298">
        <f t="shared" si="28"/>
        <v>6</v>
      </c>
      <c r="I117" s="298">
        <f t="shared" si="29"/>
        <v>3</v>
      </c>
      <c r="J117" s="298">
        <f t="shared" si="30"/>
        <v>9</v>
      </c>
      <c r="K117" s="299">
        <f t="shared" si="31"/>
        <v>41364</v>
      </c>
      <c r="R117" s="497">
        <f t="shared" si="21"/>
        <v>41364</v>
      </c>
      <c r="T117" s="302">
        <f t="shared" si="22"/>
        <v>41364</v>
      </c>
    </row>
    <row r="118" spans="2:20">
      <c r="B118" s="604">
        <f t="shared" si="23"/>
        <v>2014</v>
      </c>
      <c r="C118" s="297">
        <f t="shared" si="20"/>
        <v>24</v>
      </c>
      <c r="D118" s="297">
        <f t="shared" si="24"/>
        <v>5</v>
      </c>
      <c r="E118" s="297">
        <f t="shared" si="25"/>
        <v>0</v>
      </c>
      <c r="F118" s="298">
        <f t="shared" si="26"/>
        <v>2</v>
      </c>
      <c r="G118" s="298">
        <f t="shared" si="27"/>
        <v>5</v>
      </c>
      <c r="H118" s="298">
        <f t="shared" si="28"/>
        <v>24</v>
      </c>
      <c r="I118" s="298">
        <f t="shared" si="29"/>
        <v>5</v>
      </c>
      <c r="J118" s="298">
        <f t="shared" si="30"/>
        <v>29</v>
      </c>
      <c r="K118" s="299">
        <f t="shared" si="31"/>
        <v>41749</v>
      </c>
      <c r="R118" s="497">
        <f t="shared" si="21"/>
        <v>41749</v>
      </c>
      <c r="T118" s="302">
        <f t="shared" si="22"/>
        <v>41749</v>
      </c>
    </row>
    <row r="119" spans="2:20">
      <c r="B119" s="604">
        <f t="shared" si="23"/>
        <v>2015</v>
      </c>
      <c r="C119" s="297">
        <f t="shared" si="20"/>
        <v>24</v>
      </c>
      <c r="D119" s="297">
        <f t="shared" si="24"/>
        <v>5</v>
      </c>
      <c r="E119" s="297">
        <f t="shared" si="25"/>
        <v>1</v>
      </c>
      <c r="F119" s="298">
        <f t="shared" si="26"/>
        <v>3</v>
      </c>
      <c r="G119" s="298">
        <f t="shared" si="27"/>
        <v>6</v>
      </c>
      <c r="H119" s="298">
        <f t="shared" si="28"/>
        <v>13</v>
      </c>
      <c r="I119" s="298">
        <f t="shared" si="29"/>
        <v>1</v>
      </c>
      <c r="J119" s="298">
        <f t="shared" si="30"/>
        <v>14</v>
      </c>
      <c r="K119" s="299">
        <f t="shared" si="31"/>
        <v>42099</v>
      </c>
      <c r="R119" s="497">
        <f t="shared" si="21"/>
        <v>42099</v>
      </c>
      <c r="T119" s="302">
        <f t="shared" si="22"/>
        <v>42099</v>
      </c>
    </row>
    <row r="120" spans="2:20">
      <c r="B120" s="604">
        <f t="shared" si="23"/>
        <v>2016</v>
      </c>
      <c r="C120" s="297">
        <f t="shared" si="20"/>
        <v>24</v>
      </c>
      <c r="D120" s="297">
        <f t="shared" si="24"/>
        <v>5</v>
      </c>
      <c r="E120" s="297">
        <f t="shared" si="25"/>
        <v>2</v>
      </c>
      <c r="F120" s="298">
        <f t="shared" si="26"/>
        <v>0</v>
      </c>
      <c r="G120" s="298">
        <f t="shared" si="27"/>
        <v>0</v>
      </c>
      <c r="H120" s="298">
        <f t="shared" si="28"/>
        <v>2</v>
      </c>
      <c r="I120" s="298">
        <f t="shared" si="29"/>
        <v>3</v>
      </c>
      <c r="J120" s="298">
        <f t="shared" si="30"/>
        <v>5</v>
      </c>
      <c r="K120" s="299">
        <f t="shared" si="31"/>
        <v>42456</v>
      </c>
      <c r="R120" s="497">
        <f t="shared" si="21"/>
        <v>42456</v>
      </c>
      <c r="T120" s="302">
        <f t="shared" si="22"/>
        <v>42456</v>
      </c>
    </row>
    <row r="121" spans="2:20">
      <c r="B121" s="604">
        <f t="shared" si="23"/>
        <v>2017</v>
      </c>
      <c r="C121" s="297">
        <f t="shared" si="20"/>
        <v>24</v>
      </c>
      <c r="D121" s="297">
        <f t="shared" si="24"/>
        <v>5</v>
      </c>
      <c r="E121" s="297">
        <f t="shared" si="25"/>
        <v>3</v>
      </c>
      <c r="F121" s="298">
        <f t="shared" si="26"/>
        <v>1</v>
      </c>
      <c r="G121" s="298">
        <f t="shared" si="27"/>
        <v>1</v>
      </c>
      <c r="H121" s="298">
        <f t="shared" si="28"/>
        <v>21</v>
      </c>
      <c r="I121" s="298">
        <f t="shared" si="29"/>
        <v>4</v>
      </c>
      <c r="J121" s="298">
        <f t="shared" si="30"/>
        <v>25</v>
      </c>
      <c r="K121" s="299">
        <f t="shared" si="31"/>
        <v>42841</v>
      </c>
      <c r="R121" s="497">
        <f t="shared" si="21"/>
        <v>42841</v>
      </c>
      <c r="T121" s="302">
        <f t="shared" si="22"/>
        <v>42841</v>
      </c>
    </row>
    <row r="122" spans="2:20">
      <c r="B122" s="604">
        <f t="shared" si="23"/>
        <v>2018</v>
      </c>
      <c r="C122" s="297">
        <f t="shared" si="20"/>
        <v>24</v>
      </c>
      <c r="D122" s="297">
        <f t="shared" si="24"/>
        <v>5</v>
      </c>
      <c r="E122" s="297">
        <f t="shared" si="25"/>
        <v>4</v>
      </c>
      <c r="F122" s="298">
        <f t="shared" si="26"/>
        <v>2</v>
      </c>
      <c r="G122" s="298">
        <f t="shared" si="27"/>
        <v>2</v>
      </c>
      <c r="H122" s="298">
        <f t="shared" si="28"/>
        <v>10</v>
      </c>
      <c r="I122" s="298">
        <f t="shared" si="29"/>
        <v>0</v>
      </c>
      <c r="J122" s="298">
        <f t="shared" si="30"/>
        <v>10</v>
      </c>
      <c r="K122" s="299">
        <f t="shared" si="31"/>
        <v>43191</v>
      </c>
      <c r="R122" s="497">
        <f t="shared" si="21"/>
        <v>43191</v>
      </c>
      <c r="T122" s="302">
        <f t="shared" si="22"/>
        <v>43191</v>
      </c>
    </row>
    <row r="123" spans="2:20">
      <c r="B123" s="604">
        <f t="shared" si="23"/>
        <v>2019</v>
      </c>
      <c r="C123" s="297">
        <f t="shared" si="20"/>
        <v>24</v>
      </c>
      <c r="D123" s="297">
        <f t="shared" si="24"/>
        <v>5</v>
      </c>
      <c r="E123" s="297">
        <f t="shared" si="25"/>
        <v>5</v>
      </c>
      <c r="F123" s="298">
        <f t="shared" si="26"/>
        <v>3</v>
      </c>
      <c r="G123" s="298">
        <f t="shared" si="27"/>
        <v>3</v>
      </c>
      <c r="H123" s="298">
        <f t="shared" si="28"/>
        <v>29</v>
      </c>
      <c r="I123" s="298">
        <f t="shared" si="29"/>
        <v>1</v>
      </c>
      <c r="J123" s="298">
        <f t="shared" si="30"/>
        <v>30</v>
      </c>
      <c r="K123" s="299">
        <f t="shared" si="31"/>
        <v>43576</v>
      </c>
      <c r="R123" s="497">
        <f t="shared" si="21"/>
        <v>43576</v>
      </c>
      <c r="T123" s="302">
        <f t="shared" si="22"/>
        <v>43576</v>
      </c>
    </row>
    <row r="124" spans="2:20">
      <c r="B124" s="604">
        <f t="shared" si="23"/>
        <v>2020</v>
      </c>
      <c r="C124" s="297">
        <f t="shared" si="20"/>
        <v>24</v>
      </c>
      <c r="D124" s="297">
        <f t="shared" si="24"/>
        <v>5</v>
      </c>
      <c r="E124" s="297">
        <f t="shared" si="25"/>
        <v>6</v>
      </c>
      <c r="F124" s="298">
        <f t="shared" si="26"/>
        <v>0</v>
      </c>
      <c r="G124" s="298">
        <f t="shared" si="27"/>
        <v>4</v>
      </c>
      <c r="H124" s="298">
        <f t="shared" si="28"/>
        <v>18</v>
      </c>
      <c r="I124" s="298">
        <f t="shared" si="29"/>
        <v>3</v>
      </c>
      <c r="J124" s="298">
        <f t="shared" si="30"/>
        <v>21</v>
      </c>
      <c r="K124" s="299">
        <f t="shared" si="31"/>
        <v>43933</v>
      </c>
      <c r="R124" s="497">
        <f t="shared" si="21"/>
        <v>43933</v>
      </c>
      <c r="T124" s="302">
        <f t="shared" si="22"/>
        <v>43933</v>
      </c>
    </row>
    <row r="125" spans="2:20">
      <c r="B125" s="604">
        <f t="shared" si="23"/>
        <v>2021</v>
      </c>
      <c r="C125" s="297">
        <f t="shared" si="20"/>
        <v>24</v>
      </c>
      <c r="D125" s="297">
        <f t="shared" si="24"/>
        <v>5</v>
      </c>
      <c r="E125" s="297">
        <f t="shared" si="25"/>
        <v>7</v>
      </c>
      <c r="F125" s="298">
        <f t="shared" si="26"/>
        <v>1</v>
      </c>
      <c r="G125" s="298">
        <f t="shared" si="27"/>
        <v>5</v>
      </c>
      <c r="H125" s="298">
        <f t="shared" si="28"/>
        <v>7</v>
      </c>
      <c r="I125" s="298">
        <f t="shared" si="29"/>
        <v>6</v>
      </c>
      <c r="J125" s="298">
        <f t="shared" si="30"/>
        <v>13</v>
      </c>
      <c r="K125" s="299">
        <f t="shared" si="31"/>
        <v>44290</v>
      </c>
      <c r="R125" s="497">
        <f t="shared" si="21"/>
        <v>44290</v>
      </c>
      <c r="T125" s="302">
        <f t="shared" si="22"/>
        <v>44290</v>
      </c>
    </row>
    <row r="126" spans="2:20">
      <c r="B126" s="604">
        <f t="shared" si="23"/>
        <v>2022</v>
      </c>
      <c r="C126" s="297">
        <f t="shared" si="20"/>
        <v>24</v>
      </c>
      <c r="D126" s="297">
        <f t="shared" si="24"/>
        <v>5</v>
      </c>
      <c r="E126" s="297">
        <f t="shared" si="25"/>
        <v>8</v>
      </c>
      <c r="F126" s="298">
        <f t="shared" si="26"/>
        <v>2</v>
      </c>
      <c r="G126" s="298">
        <f t="shared" si="27"/>
        <v>6</v>
      </c>
      <c r="H126" s="298">
        <f t="shared" si="28"/>
        <v>26</v>
      </c>
      <c r="I126" s="298">
        <f t="shared" si="29"/>
        <v>0</v>
      </c>
      <c r="J126" s="298">
        <f t="shared" si="30"/>
        <v>26</v>
      </c>
      <c r="K126" s="299">
        <f t="shared" si="31"/>
        <v>44668</v>
      </c>
      <c r="R126" s="497">
        <f t="shared" si="21"/>
        <v>44668</v>
      </c>
      <c r="T126" s="302">
        <f t="shared" si="22"/>
        <v>44668</v>
      </c>
    </row>
    <row r="127" spans="2:20">
      <c r="B127" s="604">
        <f t="shared" si="23"/>
        <v>2023</v>
      </c>
      <c r="C127" s="297">
        <f t="shared" si="20"/>
        <v>24</v>
      </c>
      <c r="D127" s="297">
        <f t="shared" si="24"/>
        <v>5</v>
      </c>
      <c r="E127" s="297">
        <f t="shared" si="25"/>
        <v>9</v>
      </c>
      <c r="F127" s="298">
        <f t="shared" si="26"/>
        <v>3</v>
      </c>
      <c r="G127" s="298">
        <f t="shared" si="27"/>
        <v>0</v>
      </c>
      <c r="H127" s="298">
        <f t="shared" si="28"/>
        <v>15</v>
      </c>
      <c r="I127" s="298">
        <f t="shared" si="29"/>
        <v>3</v>
      </c>
      <c r="J127" s="298">
        <f t="shared" si="30"/>
        <v>18</v>
      </c>
      <c r="K127" s="299">
        <f t="shared" si="31"/>
        <v>45025</v>
      </c>
      <c r="R127" s="497">
        <f t="shared" si="21"/>
        <v>45025</v>
      </c>
      <c r="T127" s="302">
        <f t="shared" si="22"/>
        <v>45025</v>
      </c>
    </row>
    <row r="128" spans="2:20">
      <c r="B128" s="604">
        <f t="shared" si="23"/>
        <v>2024</v>
      </c>
      <c r="C128" s="297">
        <f t="shared" si="20"/>
        <v>24</v>
      </c>
      <c r="D128" s="297">
        <f t="shared" si="24"/>
        <v>5</v>
      </c>
      <c r="E128" s="297">
        <f t="shared" si="25"/>
        <v>10</v>
      </c>
      <c r="F128" s="298">
        <f t="shared" si="26"/>
        <v>0</v>
      </c>
      <c r="G128" s="298">
        <f t="shared" si="27"/>
        <v>1</v>
      </c>
      <c r="H128" s="298">
        <f t="shared" si="28"/>
        <v>4</v>
      </c>
      <c r="I128" s="298">
        <f t="shared" si="29"/>
        <v>5</v>
      </c>
      <c r="J128" s="298">
        <f t="shared" si="30"/>
        <v>9</v>
      </c>
      <c r="K128" s="299">
        <f t="shared" si="31"/>
        <v>45382</v>
      </c>
      <c r="R128" s="497">
        <f t="shared" si="21"/>
        <v>45382</v>
      </c>
      <c r="T128" s="302">
        <f t="shared" si="22"/>
        <v>45382</v>
      </c>
    </row>
    <row r="129" spans="2:20">
      <c r="B129" s="604">
        <f t="shared" si="23"/>
        <v>2025</v>
      </c>
      <c r="C129" s="297">
        <f t="shared" si="20"/>
        <v>24</v>
      </c>
      <c r="D129" s="297">
        <f t="shared" si="24"/>
        <v>5</v>
      </c>
      <c r="E129" s="297">
        <f t="shared" si="25"/>
        <v>11</v>
      </c>
      <c r="F129" s="298">
        <f t="shared" si="26"/>
        <v>1</v>
      </c>
      <c r="G129" s="298">
        <f t="shared" si="27"/>
        <v>2</v>
      </c>
      <c r="H129" s="298">
        <f t="shared" si="28"/>
        <v>23</v>
      </c>
      <c r="I129" s="298">
        <f t="shared" si="29"/>
        <v>6</v>
      </c>
      <c r="J129" s="298">
        <f t="shared" si="30"/>
        <v>29</v>
      </c>
      <c r="K129" s="299">
        <f t="shared" si="31"/>
        <v>45767</v>
      </c>
      <c r="R129" s="497">
        <f t="shared" si="21"/>
        <v>45767</v>
      </c>
      <c r="T129" s="302">
        <f t="shared" si="22"/>
        <v>45767</v>
      </c>
    </row>
    <row r="130" spans="2:20">
      <c r="B130" s="604">
        <f t="shared" si="23"/>
        <v>2026</v>
      </c>
      <c r="C130" s="297">
        <f t="shared" si="20"/>
        <v>24</v>
      </c>
      <c r="D130" s="297">
        <f t="shared" si="24"/>
        <v>5</v>
      </c>
      <c r="E130" s="297">
        <f t="shared" si="25"/>
        <v>12</v>
      </c>
      <c r="F130" s="298">
        <f t="shared" si="26"/>
        <v>2</v>
      </c>
      <c r="G130" s="298">
        <f t="shared" si="27"/>
        <v>3</v>
      </c>
      <c r="H130" s="298">
        <f t="shared" si="28"/>
        <v>12</v>
      </c>
      <c r="I130" s="298">
        <f t="shared" si="29"/>
        <v>2</v>
      </c>
      <c r="J130" s="298">
        <f t="shared" si="30"/>
        <v>14</v>
      </c>
      <c r="K130" s="299">
        <f t="shared" si="31"/>
        <v>46117</v>
      </c>
      <c r="R130" s="497">
        <f t="shared" si="21"/>
        <v>46117</v>
      </c>
      <c r="T130" s="302">
        <f t="shared" si="22"/>
        <v>46117</v>
      </c>
    </row>
    <row r="131" spans="2:20">
      <c r="B131" s="604">
        <f t="shared" si="23"/>
        <v>2027</v>
      </c>
      <c r="C131" s="297">
        <f t="shared" si="20"/>
        <v>24</v>
      </c>
      <c r="D131" s="297">
        <f t="shared" si="24"/>
        <v>5</v>
      </c>
      <c r="E131" s="297">
        <f t="shared" si="25"/>
        <v>13</v>
      </c>
      <c r="F131" s="298">
        <f t="shared" si="26"/>
        <v>3</v>
      </c>
      <c r="G131" s="298">
        <f t="shared" si="27"/>
        <v>4</v>
      </c>
      <c r="H131" s="298">
        <f t="shared" si="28"/>
        <v>1</v>
      </c>
      <c r="I131" s="298">
        <f t="shared" si="29"/>
        <v>5</v>
      </c>
      <c r="J131" s="298">
        <f t="shared" si="30"/>
        <v>6</v>
      </c>
      <c r="K131" s="299">
        <f t="shared" si="31"/>
        <v>46474</v>
      </c>
      <c r="R131" s="497">
        <f t="shared" si="21"/>
        <v>46474</v>
      </c>
      <c r="T131" s="302">
        <f t="shared" si="22"/>
        <v>46474</v>
      </c>
    </row>
    <row r="132" spans="2:20">
      <c r="B132" s="604">
        <f t="shared" si="23"/>
        <v>2028</v>
      </c>
      <c r="C132" s="297">
        <f t="shared" si="20"/>
        <v>24</v>
      </c>
      <c r="D132" s="297">
        <f t="shared" si="24"/>
        <v>5</v>
      </c>
      <c r="E132" s="297">
        <f t="shared" si="25"/>
        <v>14</v>
      </c>
      <c r="F132" s="298">
        <f t="shared" si="26"/>
        <v>0</v>
      </c>
      <c r="G132" s="298">
        <f t="shared" si="27"/>
        <v>5</v>
      </c>
      <c r="H132" s="298">
        <f t="shared" si="28"/>
        <v>20</v>
      </c>
      <c r="I132" s="298">
        <f t="shared" si="29"/>
        <v>5</v>
      </c>
      <c r="J132" s="298">
        <f t="shared" si="30"/>
        <v>25</v>
      </c>
      <c r="K132" s="299">
        <f t="shared" si="31"/>
        <v>46859</v>
      </c>
      <c r="R132" s="497">
        <f t="shared" si="21"/>
        <v>46859</v>
      </c>
      <c r="T132" s="302">
        <f t="shared" si="22"/>
        <v>46859</v>
      </c>
    </row>
    <row r="133" spans="2:20">
      <c r="B133" s="604">
        <f t="shared" si="23"/>
        <v>2029</v>
      </c>
      <c r="C133" s="297">
        <f t="shared" ref="C133:C196" si="32">VLOOKUP(B133,$M$4:$P$86,3,TRUE)</f>
        <v>24</v>
      </c>
      <c r="D133" s="297">
        <f t="shared" si="24"/>
        <v>5</v>
      </c>
      <c r="E133" s="297">
        <f t="shared" si="25"/>
        <v>15</v>
      </c>
      <c r="F133" s="298">
        <f t="shared" si="26"/>
        <v>1</v>
      </c>
      <c r="G133" s="298">
        <f t="shared" si="27"/>
        <v>6</v>
      </c>
      <c r="H133" s="298">
        <f t="shared" si="28"/>
        <v>9</v>
      </c>
      <c r="I133" s="298">
        <f t="shared" si="29"/>
        <v>1</v>
      </c>
      <c r="J133" s="298">
        <f t="shared" si="30"/>
        <v>10</v>
      </c>
      <c r="K133" s="299">
        <f t="shared" si="31"/>
        <v>47209</v>
      </c>
      <c r="R133" s="497">
        <f t="shared" ref="R133:R196" si="33">IF(MOD(19*MOD(B133,19)+C133,30)+MOD(2*MOD(B133,4)+4*MOD(B133,7)+6*MOD(19*MOD(B133,19)+C133,30)+D133,7)-9&lt;=0,DATE(B133,3,22+MOD(19*MOD(B133,19)+C133,30)+MOD(2*MOD(B133,4)+4*MOD(B133,7)+6*MOD(19*MOD(B133,19)+C133,30)+D133,7)),DATE(B133,4,MOD(19*MOD(B133,19)+C133,30)+MOD(2*MOD(B133,4)+4*MOD(B133,7)+6*MOD(19*MOD(B133,19)+C133,30)+D133,7)-9))</f>
        <v>47209</v>
      </c>
      <c r="T133" s="302">
        <f t="shared" ref="T133:T196" si="34">DOLLAR(("4/"&amp;B133)/7+MOD(19*MOD(B133,19)-7,30)*14%,)*7-6</f>
        <v>47209</v>
      </c>
    </row>
    <row r="134" spans="2:20">
      <c r="B134" s="604">
        <f t="shared" ref="B134:B197" si="35">B133+1</f>
        <v>2030</v>
      </c>
      <c r="C134" s="297">
        <f t="shared" si="32"/>
        <v>24</v>
      </c>
      <c r="D134" s="297">
        <f t="shared" si="24"/>
        <v>5</v>
      </c>
      <c r="E134" s="297">
        <f t="shared" si="25"/>
        <v>16</v>
      </c>
      <c r="F134" s="298">
        <f t="shared" si="26"/>
        <v>2</v>
      </c>
      <c r="G134" s="298">
        <f t="shared" si="27"/>
        <v>0</v>
      </c>
      <c r="H134" s="298">
        <f t="shared" si="28"/>
        <v>28</v>
      </c>
      <c r="I134" s="298">
        <f t="shared" si="29"/>
        <v>2</v>
      </c>
      <c r="J134" s="298">
        <f t="shared" si="30"/>
        <v>30</v>
      </c>
      <c r="K134" s="299">
        <f t="shared" si="31"/>
        <v>47594</v>
      </c>
      <c r="R134" s="497">
        <f t="shared" si="33"/>
        <v>47594</v>
      </c>
      <c r="T134" s="302">
        <f t="shared" si="34"/>
        <v>47594</v>
      </c>
    </row>
    <row r="135" spans="2:20">
      <c r="B135" s="604">
        <f t="shared" si="35"/>
        <v>2031</v>
      </c>
      <c r="C135" s="297">
        <f t="shared" si="32"/>
        <v>24</v>
      </c>
      <c r="D135" s="297">
        <f t="shared" si="24"/>
        <v>5</v>
      </c>
      <c r="E135" s="297">
        <f t="shared" si="25"/>
        <v>17</v>
      </c>
      <c r="F135" s="298">
        <f t="shared" si="26"/>
        <v>3</v>
      </c>
      <c r="G135" s="298">
        <f t="shared" si="27"/>
        <v>1</v>
      </c>
      <c r="H135" s="298">
        <f t="shared" si="28"/>
        <v>17</v>
      </c>
      <c r="I135" s="298">
        <f t="shared" si="29"/>
        <v>5</v>
      </c>
      <c r="J135" s="298">
        <f t="shared" si="30"/>
        <v>22</v>
      </c>
      <c r="K135" s="299">
        <f t="shared" si="31"/>
        <v>47951</v>
      </c>
      <c r="R135" s="497">
        <f t="shared" si="33"/>
        <v>47951</v>
      </c>
      <c r="T135" s="302">
        <f t="shared" si="34"/>
        <v>47951</v>
      </c>
    </row>
    <row r="136" spans="2:20">
      <c r="B136" s="604">
        <f t="shared" si="35"/>
        <v>2032</v>
      </c>
      <c r="C136" s="297">
        <f t="shared" si="32"/>
        <v>24</v>
      </c>
      <c r="D136" s="297">
        <f t="shared" si="24"/>
        <v>5</v>
      </c>
      <c r="E136" s="297">
        <f t="shared" si="25"/>
        <v>18</v>
      </c>
      <c r="F136" s="298">
        <f t="shared" si="26"/>
        <v>0</v>
      </c>
      <c r="G136" s="298">
        <f t="shared" si="27"/>
        <v>2</v>
      </c>
      <c r="H136" s="298">
        <f t="shared" si="28"/>
        <v>6</v>
      </c>
      <c r="I136" s="298">
        <f t="shared" si="29"/>
        <v>0</v>
      </c>
      <c r="J136" s="298">
        <f t="shared" si="30"/>
        <v>6</v>
      </c>
      <c r="K136" s="299">
        <f t="shared" si="31"/>
        <v>48301</v>
      </c>
      <c r="R136" s="497">
        <f t="shared" si="33"/>
        <v>48301</v>
      </c>
      <c r="T136" s="302">
        <f t="shared" si="34"/>
        <v>48301</v>
      </c>
    </row>
    <row r="137" spans="2:20">
      <c r="B137" s="604">
        <f t="shared" si="35"/>
        <v>2033</v>
      </c>
      <c r="C137" s="297">
        <f t="shared" si="32"/>
        <v>24</v>
      </c>
      <c r="D137" s="297">
        <f t="shared" si="24"/>
        <v>5</v>
      </c>
      <c r="E137" s="297">
        <f t="shared" si="25"/>
        <v>0</v>
      </c>
      <c r="F137" s="298">
        <f t="shared" si="26"/>
        <v>1</v>
      </c>
      <c r="G137" s="298">
        <f t="shared" si="27"/>
        <v>3</v>
      </c>
      <c r="H137" s="298">
        <f t="shared" si="28"/>
        <v>24</v>
      </c>
      <c r="I137" s="298">
        <f t="shared" si="29"/>
        <v>2</v>
      </c>
      <c r="J137" s="298">
        <f t="shared" si="30"/>
        <v>26</v>
      </c>
      <c r="K137" s="299">
        <f t="shared" si="31"/>
        <v>48686</v>
      </c>
      <c r="R137" s="497">
        <f t="shared" si="33"/>
        <v>48686</v>
      </c>
      <c r="T137" s="302">
        <f t="shared" si="34"/>
        <v>48686</v>
      </c>
    </row>
    <row r="138" spans="2:20">
      <c r="B138" s="604">
        <f t="shared" si="35"/>
        <v>2034</v>
      </c>
      <c r="C138" s="297">
        <f t="shared" si="32"/>
        <v>24</v>
      </c>
      <c r="D138" s="297">
        <f t="shared" ref="D138:D201" si="36">VLOOKUP(B138,$M$4:$P$86,4,TRUE)</f>
        <v>5</v>
      </c>
      <c r="E138" s="297">
        <f t="shared" ref="E138:E201" si="37">MOD(B138,19)</f>
        <v>1</v>
      </c>
      <c r="F138" s="298">
        <f t="shared" ref="F138:F201" si="38">MOD(B138,4)</f>
        <v>2</v>
      </c>
      <c r="G138" s="298">
        <f t="shared" ref="G138:G201" si="39">MOD(B138,7)</f>
        <v>4</v>
      </c>
      <c r="H138" s="298">
        <f t="shared" ref="H138:H201" si="40">MOD(19*E138+C138,30)</f>
        <v>13</v>
      </c>
      <c r="I138" s="298">
        <f t="shared" ref="I138:I201" si="41">MOD(2*F138+4*G138+6*H138+D138,7)</f>
        <v>5</v>
      </c>
      <c r="J138" s="298">
        <f t="shared" ref="J138:J201" si="42">H138+I138</f>
        <v>18</v>
      </c>
      <c r="K138" s="299">
        <f t="shared" ref="K138:K201" si="43">IF(J138&lt;10,DATE(B138,3,J138+22),IF(J138-9=26,DATE(B138,4,19),IF(AND(J138-9=25,H138=28,I138=6,E138&gt;10),DATE(B138,4,18),DATE(B138,4,J138-9))))</f>
        <v>49043</v>
      </c>
      <c r="R138" s="497">
        <f t="shared" si="33"/>
        <v>49043</v>
      </c>
      <c r="T138" s="302">
        <f t="shared" si="34"/>
        <v>49043</v>
      </c>
    </row>
    <row r="139" spans="2:20">
      <c r="B139" s="604">
        <f t="shared" si="35"/>
        <v>2035</v>
      </c>
      <c r="C139" s="297">
        <f t="shared" si="32"/>
        <v>24</v>
      </c>
      <c r="D139" s="297">
        <f t="shared" si="36"/>
        <v>5</v>
      </c>
      <c r="E139" s="297">
        <f t="shared" si="37"/>
        <v>2</v>
      </c>
      <c r="F139" s="298">
        <f t="shared" si="38"/>
        <v>3</v>
      </c>
      <c r="G139" s="298">
        <f t="shared" si="39"/>
        <v>5</v>
      </c>
      <c r="H139" s="298">
        <f t="shared" si="40"/>
        <v>2</v>
      </c>
      <c r="I139" s="298">
        <f t="shared" si="41"/>
        <v>1</v>
      </c>
      <c r="J139" s="298">
        <f t="shared" si="42"/>
        <v>3</v>
      </c>
      <c r="K139" s="299">
        <f t="shared" si="43"/>
        <v>49393</v>
      </c>
      <c r="R139" s="497">
        <f t="shared" si="33"/>
        <v>49393</v>
      </c>
      <c r="T139" s="302">
        <f t="shared" si="34"/>
        <v>49393</v>
      </c>
    </row>
    <row r="140" spans="2:20">
      <c r="B140" s="604">
        <f t="shared" si="35"/>
        <v>2036</v>
      </c>
      <c r="C140" s="297">
        <f t="shared" si="32"/>
        <v>24</v>
      </c>
      <c r="D140" s="297">
        <f t="shared" si="36"/>
        <v>5</v>
      </c>
      <c r="E140" s="297">
        <f t="shared" si="37"/>
        <v>3</v>
      </c>
      <c r="F140" s="298">
        <f t="shared" si="38"/>
        <v>0</v>
      </c>
      <c r="G140" s="298">
        <f t="shared" si="39"/>
        <v>6</v>
      </c>
      <c r="H140" s="298">
        <f t="shared" si="40"/>
        <v>21</v>
      </c>
      <c r="I140" s="298">
        <f t="shared" si="41"/>
        <v>1</v>
      </c>
      <c r="J140" s="298">
        <f t="shared" si="42"/>
        <v>22</v>
      </c>
      <c r="K140" s="299">
        <f t="shared" si="43"/>
        <v>49778</v>
      </c>
      <c r="R140" s="497">
        <f t="shared" si="33"/>
        <v>49778</v>
      </c>
      <c r="T140" s="302">
        <f t="shared" si="34"/>
        <v>49778</v>
      </c>
    </row>
    <row r="141" spans="2:20">
      <c r="B141" s="604">
        <f t="shared" si="35"/>
        <v>2037</v>
      </c>
      <c r="C141" s="297">
        <f t="shared" si="32"/>
        <v>24</v>
      </c>
      <c r="D141" s="297">
        <f t="shared" si="36"/>
        <v>5</v>
      </c>
      <c r="E141" s="297">
        <f t="shared" si="37"/>
        <v>4</v>
      </c>
      <c r="F141" s="298">
        <f t="shared" si="38"/>
        <v>1</v>
      </c>
      <c r="G141" s="298">
        <f t="shared" si="39"/>
        <v>0</v>
      </c>
      <c r="H141" s="298">
        <f t="shared" si="40"/>
        <v>10</v>
      </c>
      <c r="I141" s="298">
        <f t="shared" si="41"/>
        <v>4</v>
      </c>
      <c r="J141" s="298">
        <f t="shared" si="42"/>
        <v>14</v>
      </c>
      <c r="K141" s="299">
        <f t="shared" si="43"/>
        <v>50135</v>
      </c>
      <c r="R141" s="497">
        <f t="shared" si="33"/>
        <v>50135</v>
      </c>
      <c r="T141" s="302">
        <f t="shared" si="34"/>
        <v>50135</v>
      </c>
    </row>
    <row r="142" spans="2:20">
      <c r="B142" s="604">
        <f t="shared" si="35"/>
        <v>2038</v>
      </c>
      <c r="C142" s="297">
        <f t="shared" si="32"/>
        <v>24</v>
      </c>
      <c r="D142" s="297">
        <f t="shared" si="36"/>
        <v>5</v>
      </c>
      <c r="E142" s="297">
        <f t="shared" si="37"/>
        <v>5</v>
      </c>
      <c r="F142" s="298">
        <f t="shared" si="38"/>
        <v>2</v>
      </c>
      <c r="G142" s="298">
        <f t="shared" si="39"/>
        <v>1</v>
      </c>
      <c r="H142" s="298">
        <f t="shared" si="40"/>
        <v>29</v>
      </c>
      <c r="I142" s="298">
        <f t="shared" si="41"/>
        <v>5</v>
      </c>
      <c r="J142" s="298">
        <f t="shared" si="42"/>
        <v>34</v>
      </c>
      <c r="K142" s="299">
        <f t="shared" si="43"/>
        <v>50520</v>
      </c>
      <c r="R142" s="497">
        <f t="shared" si="33"/>
        <v>50520</v>
      </c>
      <c r="T142" s="302">
        <f t="shared" si="34"/>
        <v>50520</v>
      </c>
    </row>
    <row r="143" spans="2:20">
      <c r="B143" s="604">
        <f t="shared" si="35"/>
        <v>2039</v>
      </c>
      <c r="C143" s="297">
        <f t="shared" si="32"/>
        <v>24</v>
      </c>
      <c r="D143" s="297">
        <f t="shared" si="36"/>
        <v>5</v>
      </c>
      <c r="E143" s="297">
        <f t="shared" si="37"/>
        <v>6</v>
      </c>
      <c r="F143" s="298">
        <f t="shared" si="38"/>
        <v>3</v>
      </c>
      <c r="G143" s="298">
        <f t="shared" si="39"/>
        <v>2</v>
      </c>
      <c r="H143" s="298">
        <f t="shared" si="40"/>
        <v>18</v>
      </c>
      <c r="I143" s="298">
        <f t="shared" si="41"/>
        <v>1</v>
      </c>
      <c r="J143" s="298">
        <f t="shared" si="42"/>
        <v>19</v>
      </c>
      <c r="K143" s="299">
        <f t="shared" si="43"/>
        <v>50870</v>
      </c>
      <c r="R143" s="497">
        <f t="shared" si="33"/>
        <v>50870</v>
      </c>
      <c r="T143" s="302">
        <f t="shared" si="34"/>
        <v>50870</v>
      </c>
    </row>
    <row r="144" spans="2:20">
      <c r="B144" s="604">
        <f t="shared" si="35"/>
        <v>2040</v>
      </c>
      <c r="C144" s="297">
        <f t="shared" si="32"/>
        <v>24</v>
      </c>
      <c r="D144" s="297">
        <f t="shared" si="36"/>
        <v>5</v>
      </c>
      <c r="E144" s="297">
        <f t="shared" si="37"/>
        <v>7</v>
      </c>
      <c r="F144" s="298">
        <f t="shared" si="38"/>
        <v>0</v>
      </c>
      <c r="G144" s="298">
        <f t="shared" si="39"/>
        <v>3</v>
      </c>
      <c r="H144" s="298">
        <f t="shared" si="40"/>
        <v>7</v>
      </c>
      <c r="I144" s="298">
        <f t="shared" si="41"/>
        <v>3</v>
      </c>
      <c r="J144" s="298">
        <f t="shared" si="42"/>
        <v>10</v>
      </c>
      <c r="K144" s="299">
        <f t="shared" si="43"/>
        <v>51227</v>
      </c>
      <c r="R144" s="497">
        <f t="shared" si="33"/>
        <v>51227</v>
      </c>
      <c r="T144" s="302">
        <f t="shared" si="34"/>
        <v>51227</v>
      </c>
    </row>
    <row r="145" spans="2:20">
      <c r="B145" s="604">
        <f t="shared" si="35"/>
        <v>2041</v>
      </c>
      <c r="C145" s="297">
        <f t="shared" si="32"/>
        <v>24</v>
      </c>
      <c r="D145" s="297">
        <f t="shared" si="36"/>
        <v>5</v>
      </c>
      <c r="E145" s="297">
        <f t="shared" si="37"/>
        <v>8</v>
      </c>
      <c r="F145" s="298">
        <f t="shared" si="38"/>
        <v>1</v>
      </c>
      <c r="G145" s="298">
        <f t="shared" si="39"/>
        <v>4</v>
      </c>
      <c r="H145" s="298">
        <f t="shared" si="40"/>
        <v>26</v>
      </c>
      <c r="I145" s="298">
        <f t="shared" si="41"/>
        <v>4</v>
      </c>
      <c r="J145" s="298">
        <f t="shared" si="42"/>
        <v>30</v>
      </c>
      <c r="K145" s="299">
        <f t="shared" si="43"/>
        <v>51612</v>
      </c>
      <c r="R145" s="497">
        <f t="shared" si="33"/>
        <v>51612</v>
      </c>
      <c r="T145" s="302">
        <f t="shared" si="34"/>
        <v>51612</v>
      </c>
    </row>
    <row r="146" spans="2:20">
      <c r="B146" s="604">
        <f t="shared" si="35"/>
        <v>2042</v>
      </c>
      <c r="C146" s="297">
        <f t="shared" si="32"/>
        <v>24</v>
      </c>
      <c r="D146" s="297">
        <f t="shared" si="36"/>
        <v>5</v>
      </c>
      <c r="E146" s="297">
        <f t="shared" si="37"/>
        <v>9</v>
      </c>
      <c r="F146" s="298">
        <f t="shared" si="38"/>
        <v>2</v>
      </c>
      <c r="G146" s="298">
        <f t="shared" si="39"/>
        <v>5</v>
      </c>
      <c r="H146" s="298">
        <f t="shared" si="40"/>
        <v>15</v>
      </c>
      <c r="I146" s="298">
        <f t="shared" si="41"/>
        <v>0</v>
      </c>
      <c r="J146" s="298">
        <f t="shared" si="42"/>
        <v>15</v>
      </c>
      <c r="K146" s="299">
        <f t="shared" si="43"/>
        <v>51962</v>
      </c>
      <c r="R146" s="497">
        <f t="shared" si="33"/>
        <v>51962</v>
      </c>
      <c r="T146" s="302">
        <f t="shared" si="34"/>
        <v>51962</v>
      </c>
    </row>
    <row r="147" spans="2:20">
      <c r="B147" s="604">
        <f t="shared" si="35"/>
        <v>2043</v>
      </c>
      <c r="C147" s="297">
        <f t="shared" si="32"/>
        <v>24</v>
      </c>
      <c r="D147" s="297">
        <f t="shared" si="36"/>
        <v>5</v>
      </c>
      <c r="E147" s="297">
        <f t="shared" si="37"/>
        <v>10</v>
      </c>
      <c r="F147" s="298">
        <f t="shared" si="38"/>
        <v>3</v>
      </c>
      <c r="G147" s="298">
        <f t="shared" si="39"/>
        <v>6</v>
      </c>
      <c r="H147" s="298">
        <f t="shared" si="40"/>
        <v>4</v>
      </c>
      <c r="I147" s="298">
        <f t="shared" si="41"/>
        <v>3</v>
      </c>
      <c r="J147" s="298">
        <f t="shared" si="42"/>
        <v>7</v>
      </c>
      <c r="K147" s="299">
        <f t="shared" si="43"/>
        <v>52319</v>
      </c>
      <c r="R147" s="497">
        <f t="shared" si="33"/>
        <v>52319</v>
      </c>
      <c r="T147" s="302">
        <f t="shared" si="34"/>
        <v>52319</v>
      </c>
    </row>
    <row r="148" spans="2:20">
      <c r="B148" s="604">
        <f t="shared" si="35"/>
        <v>2044</v>
      </c>
      <c r="C148" s="297">
        <f t="shared" si="32"/>
        <v>24</v>
      </c>
      <c r="D148" s="297">
        <f t="shared" si="36"/>
        <v>5</v>
      </c>
      <c r="E148" s="297">
        <f t="shared" si="37"/>
        <v>11</v>
      </c>
      <c r="F148" s="298">
        <f t="shared" si="38"/>
        <v>0</v>
      </c>
      <c r="G148" s="298">
        <f t="shared" si="39"/>
        <v>0</v>
      </c>
      <c r="H148" s="298">
        <f t="shared" si="40"/>
        <v>23</v>
      </c>
      <c r="I148" s="298">
        <f t="shared" si="41"/>
        <v>3</v>
      </c>
      <c r="J148" s="298">
        <f t="shared" si="42"/>
        <v>26</v>
      </c>
      <c r="K148" s="299">
        <f t="shared" si="43"/>
        <v>52704</v>
      </c>
      <c r="R148" s="497">
        <f t="shared" si="33"/>
        <v>52704</v>
      </c>
      <c r="T148" s="302">
        <f t="shared" si="34"/>
        <v>52704</v>
      </c>
    </row>
    <row r="149" spans="2:20">
      <c r="B149" s="604">
        <f t="shared" si="35"/>
        <v>2045</v>
      </c>
      <c r="C149" s="297">
        <f t="shared" si="32"/>
        <v>24</v>
      </c>
      <c r="D149" s="297">
        <f t="shared" si="36"/>
        <v>5</v>
      </c>
      <c r="E149" s="297">
        <f t="shared" si="37"/>
        <v>12</v>
      </c>
      <c r="F149" s="298">
        <f t="shared" si="38"/>
        <v>1</v>
      </c>
      <c r="G149" s="298">
        <f t="shared" si="39"/>
        <v>1</v>
      </c>
      <c r="H149" s="298">
        <f t="shared" si="40"/>
        <v>12</v>
      </c>
      <c r="I149" s="298">
        <f t="shared" si="41"/>
        <v>6</v>
      </c>
      <c r="J149" s="298">
        <f t="shared" si="42"/>
        <v>18</v>
      </c>
      <c r="K149" s="299">
        <f t="shared" si="43"/>
        <v>53061</v>
      </c>
      <c r="R149" s="497">
        <f t="shared" si="33"/>
        <v>53061</v>
      </c>
      <c r="T149" s="302">
        <f t="shared" si="34"/>
        <v>53061</v>
      </c>
    </row>
    <row r="150" spans="2:20">
      <c r="B150" s="604">
        <f t="shared" si="35"/>
        <v>2046</v>
      </c>
      <c r="C150" s="297">
        <f t="shared" si="32"/>
        <v>24</v>
      </c>
      <c r="D150" s="297">
        <f t="shared" si="36"/>
        <v>5</v>
      </c>
      <c r="E150" s="297">
        <f t="shared" si="37"/>
        <v>13</v>
      </c>
      <c r="F150" s="298">
        <f t="shared" si="38"/>
        <v>2</v>
      </c>
      <c r="G150" s="298">
        <f t="shared" si="39"/>
        <v>2</v>
      </c>
      <c r="H150" s="298">
        <f t="shared" si="40"/>
        <v>1</v>
      </c>
      <c r="I150" s="298">
        <f t="shared" si="41"/>
        <v>2</v>
      </c>
      <c r="J150" s="298">
        <f t="shared" si="42"/>
        <v>3</v>
      </c>
      <c r="K150" s="299">
        <f t="shared" si="43"/>
        <v>53411</v>
      </c>
      <c r="R150" s="497">
        <f t="shared" si="33"/>
        <v>53411</v>
      </c>
      <c r="T150" s="302">
        <f t="shared" si="34"/>
        <v>53411</v>
      </c>
    </row>
    <row r="151" spans="2:20">
      <c r="B151" s="604">
        <f t="shared" si="35"/>
        <v>2047</v>
      </c>
      <c r="C151" s="297">
        <f t="shared" si="32"/>
        <v>24</v>
      </c>
      <c r="D151" s="297">
        <f t="shared" si="36"/>
        <v>5</v>
      </c>
      <c r="E151" s="297">
        <f t="shared" si="37"/>
        <v>14</v>
      </c>
      <c r="F151" s="298">
        <f t="shared" si="38"/>
        <v>3</v>
      </c>
      <c r="G151" s="298">
        <f t="shared" si="39"/>
        <v>3</v>
      </c>
      <c r="H151" s="298">
        <f t="shared" si="40"/>
        <v>20</v>
      </c>
      <c r="I151" s="298">
        <f t="shared" si="41"/>
        <v>3</v>
      </c>
      <c r="J151" s="298">
        <f t="shared" si="42"/>
        <v>23</v>
      </c>
      <c r="K151" s="299">
        <f t="shared" si="43"/>
        <v>53796</v>
      </c>
      <c r="R151" s="497">
        <f t="shared" si="33"/>
        <v>53796</v>
      </c>
      <c r="T151" s="302">
        <f t="shared" si="34"/>
        <v>53796</v>
      </c>
    </row>
    <row r="152" spans="2:20">
      <c r="B152" s="604">
        <f t="shared" si="35"/>
        <v>2048</v>
      </c>
      <c r="C152" s="297">
        <f t="shared" si="32"/>
        <v>24</v>
      </c>
      <c r="D152" s="297">
        <f t="shared" si="36"/>
        <v>5</v>
      </c>
      <c r="E152" s="297">
        <f t="shared" si="37"/>
        <v>15</v>
      </c>
      <c r="F152" s="298">
        <f t="shared" si="38"/>
        <v>0</v>
      </c>
      <c r="G152" s="298">
        <f t="shared" si="39"/>
        <v>4</v>
      </c>
      <c r="H152" s="298">
        <f t="shared" si="40"/>
        <v>9</v>
      </c>
      <c r="I152" s="298">
        <f t="shared" si="41"/>
        <v>5</v>
      </c>
      <c r="J152" s="298">
        <f t="shared" si="42"/>
        <v>14</v>
      </c>
      <c r="K152" s="299">
        <f t="shared" si="43"/>
        <v>54153</v>
      </c>
      <c r="R152" s="497">
        <f t="shared" si="33"/>
        <v>54153</v>
      </c>
      <c r="T152" s="302">
        <f t="shared" si="34"/>
        <v>54153</v>
      </c>
    </row>
    <row r="153" spans="2:20">
      <c r="B153" s="604">
        <f t="shared" si="35"/>
        <v>2049</v>
      </c>
      <c r="C153" s="297">
        <f t="shared" si="32"/>
        <v>24</v>
      </c>
      <c r="D153" s="297">
        <f t="shared" si="36"/>
        <v>5</v>
      </c>
      <c r="E153" s="297">
        <f t="shared" si="37"/>
        <v>16</v>
      </c>
      <c r="F153" s="298">
        <f t="shared" si="38"/>
        <v>1</v>
      </c>
      <c r="G153" s="298">
        <f t="shared" si="39"/>
        <v>5</v>
      </c>
      <c r="H153" s="298">
        <f t="shared" si="40"/>
        <v>28</v>
      </c>
      <c r="I153" s="298">
        <f t="shared" si="41"/>
        <v>6</v>
      </c>
      <c r="J153" s="298">
        <f t="shared" si="42"/>
        <v>34</v>
      </c>
      <c r="K153" s="299">
        <f t="shared" si="43"/>
        <v>54531</v>
      </c>
      <c r="R153" s="497">
        <f t="shared" si="33"/>
        <v>54538</v>
      </c>
      <c r="T153" s="302">
        <f t="shared" si="34"/>
        <v>54531</v>
      </c>
    </row>
    <row r="154" spans="2:20">
      <c r="B154" s="604">
        <f t="shared" si="35"/>
        <v>2050</v>
      </c>
      <c r="C154" s="297">
        <f t="shared" si="32"/>
        <v>24</v>
      </c>
      <c r="D154" s="297">
        <f t="shared" si="36"/>
        <v>5</v>
      </c>
      <c r="E154" s="297">
        <f t="shared" si="37"/>
        <v>17</v>
      </c>
      <c r="F154" s="298">
        <f t="shared" si="38"/>
        <v>2</v>
      </c>
      <c r="G154" s="298">
        <f t="shared" si="39"/>
        <v>6</v>
      </c>
      <c r="H154" s="298">
        <f t="shared" si="40"/>
        <v>17</v>
      </c>
      <c r="I154" s="298">
        <f t="shared" si="41"/>
        <v>2</v>
      </c>
      <c r="J154" s="298">
        <f t="shared" si="42"/>
        <v>19</v>
      </c>
      <c r="K154" s="299">
        <f t="shared" si="43"/>
        <v>54888</v>
      </c>
      <c r="R154" s="497">
        <f t="shared" si="33"/>
        <v>54888</v>
      </c>
      <c r="T154" s="302">
        <f t="shared" si="34"/>
        <v>54888</v>
      </c>
    </row>
    <row r="155" spans="2:20">
      <c r="B155" s="604">
        <f t="shared" si="35"/>
        <v>2051</v>
      </c>
      <c r="C155" s="297">
        <f t="shared" si="32"/>
        <v>24</v>
      </c>
      <c r="D155" s="297">
        <f t="shared" si="36"/>
        <v>5</v>
      </c>
      <c r="E155" s="297">
        <f t="shared" si="37"/>
        <v>18</v>
      </c>
      <c r="F155" s="298">
        <f t="shared" si="38"/>
        <v>3</v>
      </c>
      <c r="G155" s="298">
        <f t="shared" si="39"/>
        <v>0</v>
      </c>
      <c r="H155" s="298">
        <f t="shared" si="40"/>
        <v>6</v>
      </c>
      <c r="I155" s="298">
        <f t="shared" si="41"/>
        <v>5</v>
      </c>
      <c r="J155" s="298">
        <f t="shared" si="42"/>
        <v>11</v>
      </c>
      <c r="K155" s="299">
        <f t="shared" si="43"/>
        <v>55245</v>
      </c>
      <c r="R155" s="497">
        <f t="shared" si="33"/>
        <v>55245</v>
      </c>
      <c r="T155" s="302">
        <f t="shared" si="34"/>
        <v>55245</v>
      </c>
    </row>
    <row r="156" spans="2:20">
      <c r="B156" s="604">
        <f t="shared" si="35"/>
        <v>2052</v>
      </c>
      <c r="C156" s="297">
        <f t="shared" si="32"/>
        <v>24</v>
      </c>
      <c r="D156" s="297">
        <f t="shared" si="36"/>
        <v>5</v>
      </c>
      <c r="E156" s="297">
        <f t="shared" si="37"/>
        <v>0</v>
      </c>
      <c r="F156" s="298">
        <f t="shared" si="38"/>
        <v>0</v>
      </c>
      <c r="G156" s="298">
        <f t="shared" si="39"/>
        <v>1</v>
      </c>
      <c r="H156" s="298">
        <f t="shared" si="40"/>
        <v>24</v>
      </c>
      <c r="I156" s="298">
        <f t="shared" si="41"/>
        <v>6</v>
      </c>
      <c r="J156" s="298">
        <f t="shared" si="42"/>
        <v>30</v>
      </c>
      <c r="K156" s="299">
        <f t="shared" si="43"/>
        <v>55630</v>
      </c>
      <c r="R156" s="497">
        <f t="shared" si="33"/>
        <v>55630</v>
      </c>
      <c r="T156" s="302">
        <f t="shared" si="34"/>
        <v>55630</v>
      </c>
    </row>
    <row r="157" spans="2:20">
      <c r="B157" s="604">
        <f t="shared" si="35"/>
        <v>2053</v>
      </c>
      <c r="C157" s="297">
        <f t="shared" si="32"/>
        <v>24</v>
      </c>
      <c r="D157" s="297">
        <f t="shared" si="36"/>
        <v>5</v>
      </c>
      <c r="E157" s="297">
        <f t="shared" si="37"/>
        <v>1</v>
      </c>
      <c r="F157" s="298">
        <f t="shared" si="38"/>
        <v>1</v>
      </c>
      <c r="G157" s="298">
        <f t="shared" si="39"/>
        <v>2</v>
      </c>
      <c r="H157" s="298">
        <f t="shared" si="40"/>
        <v>13</v>
      </c>
      <c r="I157" s="298">
        <f t="shared" si="41"/>
        <v>2</v>
      </c>
      <c r="J157" s="298">
        <f t="shared" si="42"/>
        <v>15</v>
      </c>
      <c r="K157" s="299">
        <f t="shared" si="43"/>
        <v>55980</v>
      </c>
      <c r="R157" s="497">
        <f t="shared" si="33"/>
        <v>55980</v>
      </c>
      <c r="T157" s="302">
        <f t="shared" si="34"/>
        <v>55980</v>
      </c>
    </row>
    <row r="158" spans="2:20">
      <c r="B158" s="604">
        <f t="shared" si="35"/>
        <v>2054</v>
      </c>
      <c r="C158" s="297">
        <f t="shared" si="32"/>
        <v>24</v>
      </c>
      <c r="D158" s="297">
        <f t="shared" si="36"/>
        <v>5</v>
      </c>
      <c r="E158" s="297">
        <f t="shared" si="37"/>
        <v>2</v>
      </c>
      <c r="F158" s="298">
        <f t="shared" si="38"/>
        <v>2</v>
      </c>
      <c r="G158" s="298">
        <f t="shared" si="39"/>
        <v>3</v>
      </c>
      <c r="H158" s="298">
        <f t="shared" si="40"/>
        <v>2</v>
      </c>
      <c r="I158" s="298">
        <f t="shared" si="41"/>
        <v>5</v>
      </c>
      <c r="J158" s="298">
        <f t="shared" si="42"/>
        <v>7</v>
      </c>
      <c r="K158" s="299">
        <f t="shared" si="43"/>
        <v>56337</v>
      </c>
      <c r="R158" s="497">
        <f t="shared" si="33"/>
        <v>56337</v>
      </c>
      <c r="T158" s="302">
        <f t="shared" si="34"/>
        <v>56337</v>
      </c>
    </row>
    <row r="159" spans="2:20">
      <c r="B159" s="604">
        <f t="shared" si="35"/>
        <v>2055</v>
      </c>
      <c r="C159" s="297">
        <f t="shared" si="32"/>
        <v>24</v>
      </c>
      <c r="D159" s="297">
        <f t="shared" si="36"/>
        <v>5</v>
      </c>
      <c r="E159" s="297">
        <f t="shared" si="37"/>
        <v>3</v>
      </c>
      <c r="F159" s="298">
        <f t="shared" si="38"/>
        <v>3</v>
      </c>
      <c r="G159" s="298">
        <f t="shared" si="39"/>
        <v>4</v>
      </c>
      <c r="H159" s="298">
        <f t="shared" si="40"/>
        <v>21</v>
      </c>
      <c r="I159" s="298">
        <f t="shared" si="41"/>
        <v>6</v>
      </c>
      <c r="J159" s="298">
        <f t="shared" si="42"/>
        <v>27</v>
      </c>
      <c r="K159" s="299">
        <f t="shared" si="43"/>
        <v>56722</v>
      </c>
      <c r="R159" s="497">
        <f t="shared" si="33"/>
        <v>56722</v>
      </c>
      <c r="T159" s="302">
        <f t="shared" si="34"/>
        <v>56722</v>
      </c>
    </row>
    <row r="160" spans="2:20">
      <c r="B160" s="604">
        <f t="shared" si="35"/>
        <v>2056</v>
      </c>
      <c r="C160" s="297">
        <f t="shared" si="32"/>
        <v>24</v>
      </c>
      <c r="D160" s="297">
        <f t="shared" si="36"/>
        <v>5</v>
      </c>
      <c r="E160" s="297">
        <f t="shared" si="37"/>
        <v>4</v>
      </c>
      <c r="F160" s="298">
        <f t="shared" si="38"/>
        <v>0</v>
      </c>
      <c r="G160" s="298">
        <f t="shared" si="39"/>
        <v>5</v>
      </c>
      <c r="H160" s="298">
        <f t="shared" si="40"/>
        <v>10</v>
      </c>
      <c r="I160" s="298">
        <f t="shared" si="41"/>
        <v>1</v>
      </c>
      <c r="J160" s="298">
        <f t="shared" si="42"/>
        <v>11</v>
      </c>
      <c r="K160" s="299">
        <f t="shared" si="43"/>
        <v>57072</v>
      </c>
      <c r="R160" s="497">
        <f t="shared" si="33"/>
        <v>57072</v>
      </c>
      <c r="T160" s="302">
        <f t="shared" si="34"/>
        <v>57072</v>
      </c>
    </row>
    <row r="161" spans="2:20">
      <c r="B161" s="604">
        <f t="shared" si="35"/>
        <v>2057</v>
      </c>
      <c r="C161" s="297">
        <f t="shared" si="32"/>
        <v>24</v>
      </c>
      <c r="D161" s="297">
        <f t="shared" si="36"/>
        <v>5</v>
      </c>
      <c r="E161" s="297">
        <f t="shared" si="37"/>
        <v>5</v>
      </c>
      <c r="F161" s="298">
        <f t="shared" si="38"/>
        <v>1</v>
      </c>
      <c r="G161" s="298">
        <f t="shared" si="39"/>
        <v>6</v>
      </c>
      <c r="H161" s="298">
        <f t="shared" si="40"/>
        <v>29</v>
      </c>
      <c r="I161" s="298">
        <f t="shared" si="41"/>
        <v>2</v>
      </c>
      <c r="J161" s="298">
        <f t="shared" si="42"/>
        <v>31</v>
      </c>
      <c r="K161" s="299">
        <f t="shared" si="43"/>
        <v>57457</v>
      </c>
      <c r="R161" s="497">
        <f t="shared" si="33"/>
        <v>57457</v>
      </c>
      <c r="T161" s="302">
        <f t="shared" si="34"/>
        <v>57457</v>
      </c>
    </row>
    <row r="162" spans="2:20">
      <c r="B162" s="604">
        <f t="shared" si="35"/>
        <v>2058</v>
      </c>
      <c r="C162" s="297">
        <f t="shared" si="32"/>
        <v>24</v>
      </c>
      <c r="D162" s="297">
        <f t="shared" si="36"/>
        <v>5</v>
      </c>
      <c r="E162" s="297">
        <f t="shared" si="37"/>
        <v>6</v>
      </c>
      <c r="F162" s="298">
        <f t="shared" si="38"/>
        <v>2</v>
      </c>
      <c r="G162" s="298">
        <f t="shared" si="39"/>
        <v>0</v>
      </c>
      <c r="H162" s="298">
        <f t="shared" si="40"/>
        <v>18</v>
      </c>
      <c r="I162" s="298">
        <f t="shared" si="41"/>
        <v>5</v>
      </c>
      <c r="J162" s="298">
        <f t="shared" si="42"/>
        <v>23</v>
      </c>
      <c r="K162" s="299">
        <f t="shared" si="43"/>
        <v>57814</v>
      </c>
      <c r="R162" s="497">
        <f t="shared" si="33"/>
        <v>57814</v>
      </c>
      <c r="T162" s="302">
        <f t="shared" si="34"/>
        <v>57814</v>
      </c>
    </row>
    <row r="163" spans="2:20">
      <c r="B163" s="604">
        <f t="shared" si="35"/>
        <v>2059</v>
      </c>
      <c r="C163" s="297">
        <f t="shared" si="32"/>
        <v>24</v>
      </c>
      <c r="D163" s="297">
        <f t="shared" si="36"/>
        <v>5</v>
      </c>
      <c r="E163" s="297">
        <f t="shared" si="37"/>
        <v>7</v>
      </c>
      <c r="F163" s="298">
        <f t="shared" si="38"/>
        <v>3</v>
      </c>
      <c r="G163" s="298">
        <f t="shared" si="39"/>
        <v>1</v>
      </c>
      <c r="H163" s="298">
        <f t="shared" si="40"/>
        <v>7</v>
      </c>
      <c r="I163" s="298">
        <f t="shared" si="41"/>
        <v>1</v>
      </c>
      <c r="J163" s="298">
        <f t="shared" si="42"/>
        <v>8</v>
      </c>
      <c r="K163" s="299">
        <f t="shared" si="43"/>
        <v>58164</v>
      </c>
      <c r="R163" s="497">
        <f t="shared" si="33"/>
        <v>58164</v>
      </c>
      <c r="T163" s="302">
        <f t="shared" si="34"/>
        <v>58164</v>
      </c>
    </row>
    <row r="164" spans="2:20">
      <c r="B164" s="604">
        <f t="shared" si="35"/>
        <v>2060</v>
      </c>
      <c r="C164" s="297">
        <f t="shared" si="32"/>
        <v>24</v>
      </c>
      <c r="D164" s="297">
        <f t="shared" si="36"/>
        <v>5</v>
      </c>
      <c r="E164" s="297">
        <f t="shared" si="37"/>
        <v>8</v>
      </c>
      <c r="F164" s="298">
        <f t="shared" si="38"/>
        <v>0</v>
      </c>
      <c r="G164" s="298">
        <f t="shared" si="39"/>
        <v>2</v>
      </c>
      <c r="H164" s="298">
        <f t="shared" si="40"/>
        <v>26</v>
      </c>
      <c r="I164" s="298">
        <f t="shared" si="41"/>
        <v>1</v>
      </c>
      <c r="J164" s="298">
        <f t="shared" si="42"/>
        <v>27</v>
      </c>
      <c r="K164" s="299">
        <f t="shared" si="43"/>
        <v>58549</v>
      </c>
      <c r="R164" s="497">
        <f t="shared" si="33"/>
        <v>58549</v>
      </c>
      <c r="T164" s="302">
        <f t="shared" si="34"/>
        <v>58549</v>
      </c>
    </row>
    <row r="165" spans="2:20">
      <c r="B165" s="604">
        <f t="shared" si="35"/>
        <v>2061</v>
      </c>
      <c r="C165" s="297">
        <f t="shared" si="32"/>
        <v>24</v>
      </c>
      <c r="D165" s="297">
        <f t="shared" si="36"/>
        <v>5</v>
      </c>
      <c r="E165" s="297">
        <f t="shared" si="37"/>
        <v>9</v>
      </c>
      <c r="F165" s="298">
        <f t="shared" si="38"/>
        <v>1</v>
      </c>
      <c r="G165" s="298">
        <f t="shared" si="39"/>
        <v>3</v>
      </c>
      <c r="H165" s="298">
        <f t="shared" si="40"/>
        <v>15</v>
      </c>
      <c r="I165" s="298">
        <f t="shared" si="41"/>
        <v>4</v>
      </c>
      <c r="J165" s="298">
        <f t="shared" si="42"/>
        <v>19</v>
      </c>
      <c r="K165" s="299">
        <f t="shared" si="43"/>
        <v>58906</v>
      </c>
      <c r="R165" s="497">
        <f t="shared" si="33"/>
        <v>58906</v>
      </c>
      <c r="T165" s="302">
        <f t="shared" si="34"/>
        <v>58906</v>
      </c>
    </row>
    <row r="166" spans="2:20">
      <c r="B166" s="604">
        <f t="shared" si="35"/>
        <v>2062</v>
      </c>
      <c r="C166" s="297">
        <f t="shared" si="32"/>
        <v>24</v>
      </c>
      <c r="D166" s="297">
        <f t="shared" si="36"/>
        <v>5</v>
      </c>
      <c r="E166" s="297">
        <f t="shared" si="37"/>
        <v>10</v>
      </c>
      <c r="F166" s="298">
        <f t="shared" si="38"/>
        <v>2</v>
      </c>
      <c r="G166" s="298">
        <f t="shared" si="39"/>
        <v>4</v>
      </c>
      <c r="H166" s="298">
        <f t="shared" si="40"/>
        <v>4</v>
      </c>
      <c r="I166" s="298">
        <f t="shared" si="41"/>
        <v>0</v>
      </c>
      <c r="J166" s="298">
        <f t="shared" si="42"/>
        <v>4</v>
      </c>
      <c r="K166" s="299">
        <f t="shared" si="43"/>
        <v>59256</v>
      </c>
      <c r="R166" s="497">
        <f t="shared" si="33"/>
        <v>59256</v>
      </c>
      <c r="T166" s="302">
        <f t="shared" si="34"/>
        <v>59256</v>
      </c>
    </row>
    <row r="167" spans="2:20">
      <c r="B167" s="604">
        <f t="shared" si="35"/>
        <v>2063</v>
      </c>
      <c r="C167" s="297">
        <f t="shared" si="32"/>
        <v>24</v>
      </c>
      <c r="D167" s="297">
        <f t="shared" si="36"/>
        <v>5</v>
      </c>
      <c r="E167" s="297">
        <f t="shared" si="37"/>
        <v>11</v>
      </c>
      <c r="F167" s="298">
        <f t="shared" si="38"/>
        <v>3</v>
      </c>
      <c r="G167" s="298">
        <f t="shared" si="39"/>
        <v>5</v>
      </c>
      <c r="H167" s="298">
        <f t="shared" si="40"/>
        <v>23</v>
      </c>
      <c r="I167" s="298">
        <f t="shared" si="41"/>
        <v>1</v>
      </c>
      <c r="J167" s="298">
        <f t="shared" si="42"/>
        <v>24</v>
      </c>
      <c r="K167" s="299">
        <f t="shared" si="43"/>
        <v>59641</v>
      </c>
      <c r="R167" s="497">
        <f t="shared" si="33"/>
        <v>59641</v>
      </c>
      <c r="T167" s="302">
        <f t="shared" si="34"/>
        <v>59641</v>
      </c>
    </row>
    <row r="168" spans="2:20">
      <c r="B168" s="604">
        <f t="shared" si="35"/>
        <v>2064</v>
      </c>
      <c r="C168" s="297">
        <f t="shared" si="32"/>
        <v>24</v>
      </c>
      <c r="D168" s="297">
        <f t="shared" si="36"/>
        <v>5</v>
      </c>
      <c r="E168" s="297">
        <f t="shared" si="37"/>
        <v>12</v>
      </c>
      <c r="F168" s="298">
        <f t="shared" si="38"/>
        <v>0</v>
      </c>
      <c r="G168" s="298">
        <f t="shared" si="39"/>
        <v>6</v>
      </c>
      <c r="H168" s="298">
        <f t="shared" si="40"/>
        <v>12</v>
      </c>
      <c r="I168" s="298">
        <f t="shared" si="41"/>
        <v>3</v>
      </c>
      <c r="J168" s="298">
        <f t="shared" si="42"/>
        <v>15</v>
      </c>
      <c r="K168" s="299">
        <f t="shared" si="43"/>
        <v>59998</v>
      </c>
      <c r="R168" s="497">
        <f t="shared" si="33"/>
        <v>59998</v>
      </c>
      <c r="T168" s="302">
        <f t="shared" si="34"/>
        <v>59998</v>
      </c>
    </row>
    <row r="169" spans="2:20">
      <c r="B169" s="604">
        <f t="shared" si="35"/>
        <v>2065</v>
      </c>
      <c r="C169" s="297">
        <f t="shared" si="32"/>
        <v>24</v>
      </c>
      <c r="D169" s="297">
        <f t="shared" si="36"/>
        <v>5</v>
      </c>
      <c r="E169" s="297">
        <f t="shared" si="37"/>
        <v>13</v>
      </c>
      <c r="F169" s="298">
        <f t="shared" si="38"/>
        <v>1</v>
      </c>
      <c r="G169" s="298">
        <f t="shared" si="39"/>
        <v>0</v>
      </c>
      <c r="H169" s="298">
        <f t="shared" si="40"/>
        <v>1</v>
      </c>
      <c r="I169" s="298">
        <f t="shared" si="41"/>
        <v>6</v>
      </c>
      <c r="J169" s="298">
        <f t="shared" si="42"/>
        <v>7</v>
      </c>
      <c r="K169" s="299">
        <f t="shared" si="43"/>
        <v>60355</v>
      </c>
      <c r="R169" s="497">
        <f t="shared" si="33"/>
        <v>60355</v>
      </c>
      <c r="T169" s="302">
        <f t="shared" si="34"/>
        <v>60355</v>
      </c>
    </row>
    <row r="170" spans="2:20">
      <c r="B170" s="604">
        <f t="shared" si="35"/>
        <v>2066</v>
      </c>
      <c r="C170" s="297">
        <f t="shared" si="32"/>
        <v>24</v>
      </c>
      <c r="D170" s="297">
        <f t="shared" si="36"/>
        <v>5</v>
      </c>
      <c r="E170" s="297">
        <f t="shared" si="37"/>
        <v>14</v>
      </c>
      <c r="F170" s="298">
        <f t="shared" si="38"/>
        <v>2</v>
      </c>
      <c r="G170" s="298">
        <f t="shared" si="39"/>
        <v>1</v>
      </c>
      <c r="H170" s="298">
        <f t="shared" si="40"/>
        <v>20</v>
      </c>
      <c r="I170" s="298">
        <f t="shared" si="41"/>
        <v>0</v>
      </c>
      <c r="J170" s="298">
        <f t="shared" si="42"/>
        <v>20</v>
      </c>
      <c r="K170" s="299">
        <f t="shared" si="43"/>
        <v>60733</v>
      </c>
      <c r="R170" s="497">
        <f t="shared" si="33"/>
        <v>60733</v>
      </c>
      <c r="T170" s="302">
        <f t="shared" si="34"/>
        <v>60733</v>
      </c>
    </row>
    <row r="171" spans="2:20">
      <c r="B171" s="604">
        <f t="shared" si="35"/>
        <v>2067</v>
      </c>
      <c r="C171" s="297">
        <f t="shared" si="32"/>
        <v>24</v>
      </c>
      <c r="D171" s="297">
        <f t="shared" si="36"/>
        <v>5</v>
      </c>
      <c r="E171" s="297">
        <f t="shared" si="37"/>
        <v>15</v>
      </c>
      <c r="F171" s="298">
        <f t="shared" si="38"/>
        <v>3</v>
      </c>
      <c r="G171" s="298">
        <f t="shared" si="39"/>
        <v>2</v>
      </c>
      <c r="H171" s="298">
        <f t="shared" si="40"/>
        <v>9</v>
      </c>
      <c r="I171" s="298">
        <f t="shared" si="41"/>
        <v>3</v>
      </c>
      <c r="J171" s="298">
        <f t="shared" si="42"/>
        <v>12</v>
      </c>
      <c r="K171" s="299">
        <f t="shared" si="43"/>
        <v>61090</v>
      </c>
      <c r="R171" s="497">
        <f t="shared" si="33"/>
        <v>61090</v>
      </c>
      <c r="T171" s="302">
        <f t="shared" si="34"/>
        <v>61090</v>
      </c>
    </row>
    <row r="172" spans="2:20">
      <c r="B172" s="604">
        <f t="shared" si="35"/>
        <v>2068</v>
      </c>
      <c r="C172" s="297">
        <f t="shared" si="32"/>
        <v>24</v>
      </c>
      <c r="D172" s="297">
        <f t="shared" si="36"/>
        <v>5</v>
      </c>
      <c r="E172" s="297">
        <f t="shared" si="37"/>
        <v>16</v>
      </c>
      <c r="F172" s="298">
        <f t="shared" si="38"/>
        <v>0</v>
      </c>
      <c r="G172" s="298">
        <f t="shared" si="39"/>
        <v>3</v>
      </c>
      <c r="H172" s="298">
        <f t="shared" si="40"/>
        <v>28</v>
      </c>
      <c r="I172" s="298">
        <f t="shared" si="41"/>
        <v>3</v>
      </c>
      <c r="J172" s="298">
        <f t="shared" si="42"/>
        <v>31</v>
      </c>
      <c r="K172" s="299">
        <f t="shared" si="43"/>
        <v>61475</v>
      </c>
      <c r="R172" s="497">
        <f t="shared" si="33"/>
        <v>61475</v>
      </c>
      <c r="T172" s="302">
        <f t="shared" si="34"/>
        <v>61475</v>
      </c>
    </row>
    <row r="173" spans="2:20">
      <c r="B173" s="604">
        <f t="shared" si="35"/>
        <v>2069</v>
      </c>
      <c r="C173" s="297">
        <f t="shared" si="32"/>
        <v>24</v>
      </c>
      <c r="D173" s="297">
        <f t="shared" si="36"/>
        <v>5</v>
      </c>
      <c r="E173" s="297">
        <f t="shared" si="37"/>
        <v>17</v>
      </c>
      <c r="F173" s="298">
        <f t="shared" si="38"/>
        <v>1</v>
      </c>
      <c r="G173" s="298">
        <f t="shared" si="39"/>
        <v>4</v>
      </c>
      <c r="H173" s="298">
        <f t="shared" si="40"/>
        <v>17</v>
      </c>
      <c r="I173" s="298">
        <f t="shared" si="41"/>
        <v>6</v>
      </c>
      <c r="J173" s="298">
        <f t="shared" si="42"/>
        <v>23</v>
      </c>
      <c r="K173" s="299">
        <f t="shared" si="43"/>
        <v>61832</v>
      </c>
      <c r="R173" s="497">
        <f t="shared" si="33"/>
        <v>61832</v>
      </c>
      <c r="T173" s="302">
        <f t="shared" si="34"/>
        <v>61832</v>
      </c>
    </row>
    <row r="174" spans="2:20">
      <c r="B174" s="604">
        <f t="shared" si="35"/>
        <v>2070</v>
      </c>
      <c r="C174" s="297">
        <f t="shared" si="32"/>
        <v>24</v>
      </c>
      <c r="D174" s="297">
        <f t="shared" si="36"/>
        <v>5</v>
      </c>
      <c r="E174" s="297">
        <f t="shared" si="37"/>
        <v>18</v>
      </c>
      <c r="F174" s="298">
        <f t="shared" si="38"/>
        <v>2</v>
      </c>
      <c r="G174" s="298">
        <f t="shared" si="39"/>
        <v>5</v>
      </c>
      <c r="H174" s="298">
        <f t="shared" si="40"/>
        <v>6</v>
      </c>
      <c r="I174" s="298">
        <f t="shared" si="41"/>
        <v>2</v>
      </c>
      <c r="J174" s="298">
        <f t="shared" si="42"/>
        <v>8</v>
      </c>
      <c r="K174" s="299">
        <f t="shared" si="43"/>
        <v>62182</v>
      </c>
      <c r="R174" s="497">
        <f t="shared" si="33"/>
        <v>62182</v>
      </c>
      <c r="T174" s="302">
        <f t="shared" si="34"/>
        <v>62182</v>
      </c>
    </row>
    <row r="175" spans="2:20">
      <c r="B175" s="604">
        <f t="shared" si="35"/>
        <v>2071</v>
      </c>
      <c r="C175" s="297">
        <f t="shared" si="32"/>
        <v>24</v>
      </c>
      <c r="D175" s="297">
        <f t="shared" si="36"/>
        <v>5</v>
      </c>
      <c r="E175" s="297">
        <f t="shared" si="37"/>
        <v>0</v>
      </c>
      <c r="F175" s="298">
        <f t="shared" si="38"/>
        <v>3</v>
      </c>
      <c r="G175" s="298">
        <f t="shared" si="39"/>
        <v>6</v>
      </c>
      <c r="H175" s="298">
        <f t="shared" si="40"/>
        <v>24</v>
      </c>
      <c r="I175" s="298">
        <f t="shared" si="41"/>
        <v>4</v>
      </c>
      <c r="J175" s="298">
        <f t="shared" si="42"/>
        <v>28</v>
      </c>
      <c r="K175" s="299">
        <f t="shared" si="43"/>
        <v>62567</v>
      </c>
      <c r="R175" s="497">
        <f t="shared" si="33"/>
        <v>62567</v>
      </c>
      <c r="T175" s="302">
        <f t="shared" si="34"/>
        <v>62567</v>
      </c>
    </row>
    <row r="176" spans="2:20">
      <c r="B176" s="604">
        <f t="shared" si="35"/>
        <v>2072</v>
      </c>
      <c r="C176" s="297">
        <f t="shared" si="32"/>
        <v>24</v>
      </c>
      <c r="D176" s="297">
        <f t="shared" si="36"/>
        <v>5</v>
      </c>
      <c r="E176" s="297">
        <f t="shared" si="37"/>
        <v>1</v>
      </c>
      <c r="F176" s="298">
        <f t="shared" si="38"/>
        <v>0</v>
      </c>
      <c r="G176" s="298">
        <f t="shared" si="39"/>
        <v>0</v>
      </c>
      <c r="H176" s="298">
        <f t="shared" si="40"/>
        <v>13</v>
      </c>
      <c r="I176" s="298">
        <f t="shared" si="41"/>
        <v>6</v>
      </c>
      <c r="J176" s="298">
        <f t="shared" si="42"/>
        <v>19</v>
      </c>
      <c r="K176" s="299">
        <f t="shared" si="43"/>
        <v>62924</v>
      </c>
      <c r="R176" s="497">
        <f t="shared" si="33"/>
        <v>62924</v>
      </c>
      <c r="T176" s="302">
        <f t="shared" si="34"/>
        <v>62924</v>
      </c>
    </row>
    <row r="177" spans="2:20">
      <c r="B177" s="604">
        <f t="shared" si="35"/>
        <v>2073</v>
      </c>
      <c r="C177" s="297">
        <f t="shared" si="32"/>
        <v>24</v>
      </c>
      <c r="D177" s="297">
        <f t="shared" si="36"/>
        <v>5</v>
      </c>
      <c r="E177" s="297">
        <f t="shared" si="37"/>
        <v>2</v>
      </c>
      <c r="F177" s="298">
        <f t="shared" si="38"/>
        <v>1</v>
      </c>
      <c r="G177" s="298">
        <f t="shared" si="39"/>
        <v>1</v>
      </c>
      <c r="H177" s="298">
        <f t="shared" si="40"/>
        <v>2</v>
      </c>
      <c r="I177" s="298">
        <f t="shared" si="41"/>
        <v>2</v>
      </c>
      <c r="J177" s="298">
        <f t="shared" si="42"/>
        <v>4</v>
      </c>
      <c r="K177" s="299">
        <f t="shared" si="43"/>
        <v>63274</v>
      </c>
      <c r="R177" s="497">
        <f t="shared" si="33"/>
        <v>63274</v>
      </c>
      <c r="T177" s="302">
        <f t="shared" si="34"/>
        <v>63274</v>
      </c>
    </row>
    <row r="178" spans="2:20">
      <c r="B178" s="604">
        <f t="shared" si="35"/>
        <v>2074</v>
      </c>
      <c r="C178" s="297">
        <f t="shared" si="32"/>
        <v>24</v>
      </c>
      <c r="D178" s="297">
        <f t="shared" si="36"/>
        <v>5</v>
      </c>
      <c r="E178" s="297">
        <f t="shared" si="37"/>
        <v>3</v>
      </c>
      <c r="F178" s="298">
        <f t="shared" si="38"/>
        <v>2</v>
      </c>
      <c r="G178" s="298">
        <f t="shared" si="39"/>
        <v>2</v>
      </c>
      <c r="H178" s="298">
        <f t="shared" si="40"/>
        <v>21</v>
      </c>
      <c r="I178" s="298">
        <f t="shared" si="41"/>
        <v>3</v>
      </c>
      <c r="J178" s="298">
        <f t="shared" si="42"/>
        <v>24</v>
      </c>
      <c r="K178" s="299">
        <f t="shared" si="43"/>
        <v>63659</v>
      </c>
      <c r="R178" s="497">
        <f t="shared" si="33"/>
        <v>63659</v>
      </c>
      <c r="T178" s="302">
        <f t="shared" si="34"/>
        <v>63659</v>
      </c>
    </row>
    <row r="179" spans="2:20">
      <c r="B179" s="604">
        <f t="shared" si="35"/>
        <v>2075</v>
      </c>
      <c r="C179" s="297">
        <f t="shared" si="32"/>
        <v>24</v>
      </c>
      <c r="D179" s="297">
        <f t="shared" si="36"/>
        <v>5</v>
      </c>
      <c r="E179" s="297">
        <f t="shared" si="37"/>
        <v>4</v>
      </c>
      <c r="F179" s="298">
        <f t="shared" si="38"/>
        <v>3</v>
      </c>
      <c r="G179" s="298">
        <f t="shared" si="39"/>
        <v>3</v>
      </c>
      <c r="H179" s="298">
        <f t="shared" si="40"/>
        <v>10</v>
      </c>
      <c r="I179" s="298">
        <f t="shared" si="41"/>
        <v>6</v>
      </c>
      <c r="J179" s="298">
        <f t="shared" si="42"/>
        <v>16</v>
      </c>
      <c r="K179" s="299">
        <f t="shared" si="43"/>
        <v>64016</v>
      </c>
      <c r="R179" s="497">
        <f t="shared" si="33"/>
        <v>64016</v>
      </c>
      <c r="T179" s="302">
        <f t="shared" si="34"/>
        <v>64016</v>
      </c>
    </row>
    <row r="180" spans="2:20">
      <c r="B180" s="604">
        <f t="shared" si="35"/>
        <v>2076</v>
      </c>
      <c r="C180" s="297">
        <f t="shared" si="32"/>
        <v>24</v>
      </c>
      <c r="D180" s="297">
        <f t="shared" si="36"/>
        <v>5</v>
      </c>
      <c r="E180" s="297">
        <f t="shared" si="37"/>
        <v>5</v>
      </c>
      <c r="F180" s="298">
        <f t="shared" si="38"/>
        <v>0</v>
      </c>
      <c r="G180" s="298">
        <f t="shared" si="39"/>
        <v>4</v>
      </c>
      <c r="H180" s="298">
        <f t="shared" si="40"/>
        <v>29</v>
      </c>
      <c r="I180" s="298">
        <f t="shared" si="41"/>
        <v>6</v>
      </c>
      <c r="J180" s="298">
        <f t="shared" si="42"/>
        <v>35</v>
      </c>
      <c r="K180" s="299">
        <f t="shared" si="43"/>
        <v>64394</v>
      </c>
      <c r="R180" s="497">
        <f t="shared" si="33"/>
        <v>64401</v>
      </c>
      <c r="T180" s="302">
        <f t="shared" si="34"/>
        <v>64394</v>
      </c>
    </row>
    <row r="181" spans="2:20">
      <c r="B181" s="604">
        <f t="shared" si="35"/>
        <v>2077</v>
      </c>
      <c r="C181" s="297">
        <f t="shared" si="32"/>
        <v>24</v>
      </c>
      <c r="D181" s="297">
        <f t="shared" si="36"/>
        <v>5</v>
      </c>
      <c r="E181" s="297">
        <f t="shared" si="37"/>
        <v>6</v>
      </c>
      <c r="F181" s="298">
        <f t="shared" si="38"/>
        <v>1</v>
      </c>
      <c r="G181" s="298">
        <f t="shared" si="39"/>
        <v>5</v>
      </c>
      <c r="H181" s="298">
        <f t="shared" si="40"/>
        <v>18</v>
      </c>
      <c r="I181" s="298">
        <f t="shared" si="41"/>
        <v>2</v>
      </c>
      <c r="J181" s="298">
        <f t="shared" si="42"/>
        <v>20</v>
      </c>
      <c r="K181" s="299">
        <f t="shared" si="43"/>
        <v>64751</v>
      </c>
      <c r="R181" s="497">
        <f t="shared" si="33"/>
        <v>64751</v>
      </c>
      <c r="T181" s="302">
        <f t="shared" si="34"/>
        <v>64751</v>
      </c>
    </row>
    <row r="182" spans="2:20">
      <c r="B182" s="604">
        <f t="shared" si="35"/>
        <v>2078</v>
      </c>
      <c r="C182" s="297">
        <f t="shared" si="32"/>
        <v>24</v>
      </c>
      <c r="D182" s="297">
        <f t="shared" si="36"/>
        <v>5</v>
      </c>
      <c r="E182" s="297">
        <f t="shared" si="37"/>
        <v>7</v>
      </c>
      <c r="F182" s="298">
        <f t="shared" si="38"/>
        <v>2</v>
      </c>
      <c r="G182" s="298">
        <f t="shared" si="39"/>
        <v>6</v>
      </c>
      <c r="H182" s="298">
        <f t="shared" si="40"/>
        <v>7</v>
      </c>
      <c r="I182" s="298">
        <f t="shared" si="41"/>
        <v>5</v>
      </c>
      <c r="J182" s="298">
        <f t="shared" si="42"/>
        <v>12</v>
      </c>
      <c r="K182" s="299">
        <f t="shared" si="43"/>
        <v>65108</v>
      </c>
      <c r="R182" s="497">
        <f t="shared" si="33"/>
        <v>65108</v>
      </c>
      <c r="T182" s="302">
        <f t="shared" si="34"/>
        <v>65108</v>
      </c>
    </row>
    <row r="183" spans="2:20">
      <c r="B183" s="604">
        <f t="shared" si="35"/>
        <v>2079</v>
      </c>
      <c r="C183" s="297">
        <f t="shared" si="32"/>
        <v>24</v>
      </c>
      <c r="D183" s="297">
        <f t="shared" si="36"/>
        <v>5</v>
      </c>
      <c r="E183" s="297">
        <f t="shared" si="37"/>
        <v>8</v>
      </c>
      <c r="F183" s="298">
        <f t="shared" si="38"/>
        <v>3</v>
      </c>
      <c r="G183" s="298">
        <f t="shared" si="39"/>
        <v>0</v>
      </c>
      <c r="H183" s="298">
        <f t="shared" si="40"/>
        <v>26</v>
      </c>
      <c r="I183" s="298">
        <f t="shared" si="41"/>
        <v>6</v>
      </c>
      <c r="J183" s="298">
        <f t="shared" si="42"/>
        <v>32</v>
      </c>
      <c r="K183" s="299">
        <f t="shared" si="43"/>
        <v>65493</v>
      </c>
      <c r="R183" s="497">
        <f t="shared" si="33"/>
        <v>65493</v>
      </c>
      <c r="T183" s="302">
        <f t="shared" si="34"/>
        <v>65493</v>
      </c>
    </row>
    <row r="184" spans="2:20">
      <c r="B184" s="604">
        <f t="shared" si="35"/>
        <v>2080</v>
      </c>
      <c r="C184" s="297">
        <f t="shared" si="32"/>
        <v>24</v>
      </c>
      <c r="D184" s="297">
        <f t="shared" si="36"/>
        <v>5</v>
      </c>
      <c r="E184" s="297">
        <f t="shared" si="37"/>
        <v>9</v>
      </c>
      <c r="F184" s="298">
        <f t="shared" si="38"/>
        <v>0</v>
      </c>
      <c r="G184" s="298">
        <f t="shared" si="39"/>
        <v>1</v>
      </c>
      <c r="H184" s="298">
        <f t="shared" si="40"/>
        <v>15</v>
      </c>
      <c r="I184" s="298">
        <f t="shared" si="41"/>
        <v>1</v>
      </c>
      <c r="J184" s="298">
        <f t="shared" si="42"/>
        <v>16</v>
      </c>
      <c r="K184" s="299">
        <f t="shared" si="43"/>
        <v>65843</v>
      </c>
      <c r="R184" s="497">
        <f t="shared" si="33"/>
        <v>65843</v>
      </c>
      <c r="T184" s="302">
        <f t="shared" si="34"/>
        <v>65843</v>
      </c>
    </row>
    <row r="185" spans="2:20">
      <c r="B185" s="604">
        <f t="shared" si="35"/>
        <v>2081</v>
      </c>
      <c r="C185" s="297">
        <f t="shared" si="32"/>
        <v>24</v>
      </c>
      <c r="D185" s="297">
        <f t="shared" si="36"/>
        <v>5</v>
      </c>
      <c r="E185" s="297">
        <f t="shared" si="37"/>
        <v>10</v>
      </c>
      <c r="F185" s="298">
        <f t="shared" si="38"/>
        <v>1</v>
      </c>
      <c r="G185" s="298">
        <f t="shared" si="39"/>
        <v>2</v>
      </c>
      <c r="H185" s="298">
        <f t="shared" si="40"/>
        <v>4</v>
      </c>
      <c r="I185" s="298">
        <f t="shared" si="41"/>
        <v>4</v>
      </c>
      <c r="J185" s="298">
        <f t="shared" si="42"/>
        <v>8</v>
      </c>
      <c r="K185" s="299">
        <f t="shared" si="43"/>
        <v>66200</v>
      </c>
      <c r="R185" s="497">
        <f t="shared" si="33"/>
        <v>66200</v>
      </c>
      <c r="T185" s="302">
        <f t="shared" si="34"/>
        <v>66200</v>
      </c>
    </row>
    <row r="186" spans="2:20">
      <c r="B186" s="604">
        <f t="shared" si="35"/>
        <v>2082</v>
      </c>
      <c r="C186" s="297">
        <f t="shared" si="32"/>
        <v>24</v>
      </c>
      <c r="D186" s="297">
        <f t="shared" si="36"/>
        <v>5</v>
      </c>
      <c r="E186" s="297">
        <f t="shared" si="37"/>
        <v>11</v>
      </c>
      <c r="F186" s="298">
        <f t="shared" si="38"/>
        <v>2</v>
      </c>
      <c r="G186" s="298">
        <f t="shared" si="39"/>
        <v>3</v>
      </c>
      <c r="H186" s="298">
        <f t="shared" si="40"/>
        <v>23</v>
      </c>
      <c r="I186" s="298">
        <f t="shared" si="41"/>
        <v>5</v>
      </c>
      <c r="J186" s="298">
        <f t="shared" si="42"/>
        <v>28</v>
      </c>
      <c r="K186" s="299">
        <f t="shared" si="43"/>
        <v>66585</v>
      </c>
      <c r="R186" s="497">
        <f t="shared" si="33"/>
        <v>66585</v>
      </c>
      <c r="T186" s="302">
        <f t="shared" si="34"/>
        <v>66585</v>
      </c>
    </row>
    <row r="187" spans="2:20">
      <c r="B187" s="604">
        <f t="shared" si="35"/>
        <v>2083</v>
      </c>
      <c r="C187" s="297">
        <f t="shared" si="32"/>
        <v>24</v>
      </c>
      <c r="D187" s="297">
        <f t="shared" si="36"/>
        <v>5</v>
      </c>
      <c r="E187" s="297">
        <f t="shared" si="37"/>
        <v>12</v>
      </c>
      <c r="F187" s="298">
        <f t="shared" si="38"/>
        <v>3</v>
      </c>
      <c r="G187" s="298">
        <f t="shared" si="39"/>
        <v>4</v>
      </c>
      <c r="H187" s="298">
        <f t="shared" si="40"/>
        <v>12</v>
      </c>
      <c r="I187" s="298">
        <f t="shared" si="41"/>
        <v>1</v>
      </c>
      <c r="J187" s="298">
        <f t="shared" si="42"/>
        <v>13</v>
      </c>
      <c r="K187" s="299">
        <f t="shared" si="43"/>
        <v>66935</v>
      </c>
      <c r="R187" s="497">
        <f t="shared" si="33"/>
        <v>66935</v>
      </c>
      <c r="T187" s="302">
        <f t="shared" si="34"/>
        <v>66935</v>
      </c>
    </row>
    <row r="188" spans="2:20">
      <c r="B188" s="604">
        <f t="shared" si="35"/>
        <v>2084</v>
      </c>
      <c r="C188" s="297">
        <f t="shared" si="32"/>
        <v>24</v>
      </c>
      <c r="D188" s="297">
        <f t="shared" si="36"/>
        <v>5</v>
      </c>
      <c r="E188" s="297">
        <f t="shared" si="37"/>
        <v>13</v>
      </c>
      <c r="F188" s="298">
        <f t="shared" si="38"/>
        <v>0</v>
      </c>
      <c r="G188" s="298">
        <f t="shared" si="39"/>
        <v>5</v>
      </c>
      <c r="H188" s="298">
        <f t="shared" si="40"/>
        <v>1</v>
      </c>
      <c r="I188" s="298">
        <f t="shared" si="41"/>
        <v>3</v>
      </c>
      <c r="J188" s="298">
        <f t="shared" si="42"/>
        <v>4</v>
      </c>
      <c r="K188" s="299">
        <f t="shared" si="43"/>
        <v>67292</v>
      </c>
      <c r="R188" s="497">
        <f t="shared" si="33"/>
        <v>67292</v>
      </c>
      <c r="T188" s="302">
        <f t="shared" si="34"/>
        <v>67292</v>
      </c>
    </row>
    <row r="189" spans="2:20">
      <c r="B189" s="604">
        <f t="shared" si="35"/>
        <v>2085</v>
      </c>
      <c r="C189" s="297">
        <f t="shared" si="32"/>
        <v>24</v>
      </c>
      <c r="D189" s="297">
        <f t="shared" si="36"/>
        <v>5</v>
      </c>
      <c r="E189" s="297">
        <f t="shared" si="37"/>
        <v>14</v>
      </c>
      <c r="F189" s="298">
        <f t="shared" si="38"/>
        <v>1</v>
      </c>
      <c r="G189" s="298">
        <f t="shared" si="39"/>
        <v>6</v>
      </c>
      <c r="H189" s="298">
        <f t="shared" si="40"/>
        <v>20</v>
      </c>
      <c r="I189" s="298">
        <f t="shared" si="41"/>
        <v>4</v>
      </c>
      <c r="J189" s="298">
        <f t="shared" si="42"/>
        <v>24</v>
      </c>
      <c r="K189" s="299">
        <f t="shared" si="43"/>
        <v>67677</v>
      </c>
      <c r="R189" s="497">
        <f t="shared" si="33"/>
        <v>67677</v>
      </c>
      <c r="T189" s="302">
        <f t="shared" si="34"/>
        <v>67677</v>
      </c>
    </row>
    <row r="190" spans="2:20">
      <c r="B190" s="604">
        <f t="shared" si="35"/>
        <v>2086</v>
      </c>
      <c r="C190" s="297">
        <f t="shared" si="32"/>
        <v>24</v>
      </c>
      <c r="D190" s="297">
        <f t="shared" si="36"/>
        <v>5</v>
      </c>
      <c r="E190" s="297">
        <f t="shared" si="37"/>
        <v>15</v>
      </c>
      <c r="F190" s="298">
        <f t="shared" si="38"/>
        <v>2</v>
      </c>
      <c r="G190" s="298">
        <f t="shared" si="39"/>
        <v>0</v>
      </c>
      <c r="H190" s="298">
        <f t="shared" si="40"/>
        <v>9</v>
      </c>
      <c r="I190" s="298">
        <f t="shared" si="41"/>
        <v>0</v>
      </c>
      <c r="J190" s="298">
        <f t="shared" si="42"/>
        <v>9</v>
      </c>
      <c r="K190" s="299">
        <f t="shared" si="43"/>
        <v>68027</v>
      </c>
      <c r="R190" s="497">
        <f t="shared" si="33"/>
        <v>68027</v>
      </c>
      <c r="T190" s="302">
        <f t="shared" si="34"/>
        <v>68027</v>
      </c>
    </row>
    <row r="191" spans="2:20">
      <c r="B191" s="604">
        <f t="shared" si="35"/>
        <v>2087</v>
      </c>
      <c r="C191" s="297">
        <f t="shared" si="32"/>
        <v>24</v>
      </c>
      <c r="D191" s="297">
        <f t="shared" si="36"/>
        <v>5</v>
      </c>
      <c r="E191" s="297">
        <f t="shared" si="37"/>
        <v>16</v>
      </c>
      <c r="F191" s="298">
        <f t="shared" si="38"/>
        <v>3</v>
      </c>
      <c r="G191" s="298">
        <f t="shared" si="39"/>
        <v>1</v>
      </c>
      <c r="H191" s="298">
        <f t="shared" si="40"/>
        <v>28</v>
      </c>
      <c r="I191" s="298">
        <f t="shared" si="41"/>
        <v>1</v>
      </c>
      <c r="J191" s="298">
        <f t="shared" si="42"/>
        <v>29</v>
      </c>
      <c r="K191" s="299">
        <f t="shared" si="43"/>
        <v>68412</v>
      </c>
      <c r="R191" s="497">
        <f t="shared" si="33"/>
        <v>68412</v>
      </c>
      <c r="T191" s="302">
        <f t="shared" si="34"/>
        <v>68412</v>
      </c>
    </row>
    <row r="192" spans="2:20">
      <c r="B192" s="604">
        <f t="shared" si="35"/>
        <v>2088</v>
      </c>
      <c r="C192" s="297">
        <f t="shared" si="32"/>
        <v>24</v>
      </c>
      <c r="D192" s="297">
        <f t="shared" si="36"/>
        <v>5</v>
      </c>
      <c r="E192" s="297">
        <f t="shared" si="37"/>
        <v>17</v>
      </c>
      <c r="F192" s="298">
        <f t="shared" si="38"/>
        <v>0</v>
      </c>
      <c r="G192" s="298">
        <f t="shared" si="39"/>
        <v>2</v>
      </c>
      <c r="H192" s="298">
        <f t="shared" si="40"/>
        <v>17</v>
      </c>
      <c r="I192" s="298">
        <f t="shared" si="41"/>
        <v>3</v>
      </c>
      <c r="J192" s="298">
        <f t="shared" si="42"/>
        <v>20</v>
      </c>
      <c r="K192" s="299">
        <f t="shared" si="43"/>
        <v>68769</v>
      </c>
      <c r="R192" s="497">
        <f t="shared" si="33"/>
        <v>68769</v>
      </c>
      <c r="T192" s="302">
        <f t="shared" si="34"/>
        <v>68769</v>
      </c>
    </row>
    <row r="193" spans="2:20">
      <c r="B193" s="604">
        <f t="shared" si="35"/>
        <v>2089</v>
      </c>
      <c r="C193" s="297">
        <f t="shared" si="32"/>
        <v>24</v>
      </c>
      <c r="D193" s="297">
        <f t="shared" si="36"/>
        <v>5</v>
      </c>
      <c r="E193" s="297">
        <f t="shared" si="37"/>
        <v>18</v>
      </c>
      <c r="F193" s="298">
        <f t="shared" si="38"/>
        <v>1</v>
      </c>
      <c r="G193" s="298">
        <f t="shared" si="39"/>
        <v>3</v>
      </c>
      <c r="H193" s="298">
        <f t="shared" si="40"/>
        <v>6</v>
      </c>
      <c r="I193" s="298">
        <f t="shared" si="41"/>
        <v>6</v>
      </c>
      <c r="J193" s="298">
        <f t="shared" si="42"/>
        <v>12</v>
      </c>
      <c r="K193" s="299">
        <f t="shared" si="43"/>
        <v>69126</v>
      </c>
      <c r="R193" s="497">
        <f t="shared" si="33"/>
        <v>69126</v>
      </c>
      <c r="T193" s="302">
        <f t="shared" si="34"/>
        <v>69126</v>
      </c>
    </row>
    <row r="194" spans="2:20">
      <c r="B194" s="604">
        <f t="shared" si="35"/>
        <v>2090</v>
      </c>
      <c r="C194" s="297">
        <f t="shared" si="32"/>
        <v>24</v>
      </c>
      <c r="D194" s="297">
        <f t="shared" si="36"/>
        <v>5</v>
      </c>
      <c r="E194" s="297">
        <f t="shared" si="37"/>
        <v>0</v>
      </c>
      <c r="F194" s="298">
        <f t="shared" si="38"/>
        <v>2</v>
      </c>
      <c r="G194" s="298">
        <f t="shared" si="39"/>
        <v>4</v>
      </c>
      <c r="H194" s="298">
        <f t="shared" si="40"/>
        <v>24</v>
      </c>
      <c r="I194" s="298">
        <f t="shared" si="41"/>
        <v>1</v>
      </c>
      <c r="J194" s="298">
        <f t="shared" si="42"/>
        <v>25</v>
      </c>
      <c r="K194" s="299">
        <f t="shared" si="43"/>
        <v>69504</v>
      </c>
      <c r="R194" s="497">
        <f t="shared" si="33"/>
        <v>69504</v>
      </c>
      <c r="T194" s="302">
        <f t="shared" si="34"/>
        <v>69504</v>
      </c>
    </row>
    <row r="195" spans="2:20">
      <c r="B195" s="604">
        <f t="shared" si="35"/>
        <v>2091</v>
      </c>
      <c r="C195" s="297">
        <f t="shared" si="32"/>
        <v>24</v>
      </c>
      <c r="D195" s="297">
        <f t="shared" si="36"/>
        <v>5</v>
      </c>
      <c r="E195" s="297">
        <f t="shared" si="37"/>
        <v>1</v>
      </c>
      <c r="F195" s="298">
        <f t="shared" si="38"/>
        <v>3</v>
      </c>
      <c r="G195" s="298">
        <f t="shared" si="39"/>
        <v>5</v>
      </c>
      <c r="H195" s="298">
        <f t="shared" si="40"/>
        <v>13</v>
      </c>
      <c r="I195" s="298">
        <f t="shared" si="41"/>
        <v>4</v>
      </c>
      <c r="J195" s="298">
        <f t="shared" si="42"/>
        <v>17</v>
      </c>
      <c r="K195" s="299">
        <f t="shared" si="43"/>
        <v>69861</v>
      </c>
      <c r="R195" s="497">
        <f t="shared" si="33"/>
        <v>69861</v>
      </c>
      <c r="T195" s="302">
        <f t="shared" si="34"/>
        <v>69861</v>
      </c>
    </row>
    <row r="196" spans="2:20">
      <c r="B196" s="604">
        <f t="shared" si="35"/>
        <v>2092</v>
      </c>
      <c r="C196" s="297">
        <f t="shared" si="32"/>
        <v>24</v>
      </c>
      <c r="D196" s="297">
        <f t="shared" si="36"/>
        <v>5</v>
      </c>
      <c r="E196" s="297">
        <f t="shared" si="37"/>
        <v>2</v>
      </c>
      <c r="F196" s="298">
        <f t="shared" si="38"/>
        <v>0</v>
      </c>
      <c r="G196" s="298">
        <f t="shared" si="39"/>
        <v>6</v>
      </c>
      <c r="H196" s="298">
        <f t="shared" si="40"/>
        <v>2</v>
      </c>
      <c r="I196" s="298">
        <f t="shared" si="41"/>
        <v>6</v>
      </c>
      <c r="J196" s="298">
        <f t="shared" si="42"/>
        <v>8</v>
      </c>
      <c r="K196" s="299">
        <f t="shared" si="43"/>
        <v>70218</v>
      </c>
      <c r="R196" s="497">
        <f t="shared" si="33"/>
        <v>70218</v>
      </c>
      <c r="T196" s="302">
        <f t="shared" si="34"/>
        <v>70218</v>
      </c>
    </row>
    <row r="197" spans="2:20">
      <c r="B197" s="604">
        <f t="shared" si="35"/>
        <v>2093</v>
      </c>
      <c r="C197" s="297">
        <f t="shared" ref="C197:C260" si="44">VLOOKUP(B197,$M$4:$P$86,3,TRUE)</f>
        <v>24</v>
      </c>
      <c r="D197" s="297">
        <f t="shared" si="36"/>
        <v>5</v>
      </c>
      <c r="E197" s="297">
        <f t="shared" si="37"/>
        <v>3</v>
      </c>
      <c r="F197" s="298">
        <f t="shared" si="38"/>
        <v>1</v>
      </c>
      <c r="G197" s="298">
        <f t="shared" si="39"/>
        <v>0</v>
      </c>
      <c r="H197" s="298">
        <f t="shared" si="40"/>
        <v>21</v>
      </c>
      <c r="I197" s="298">
        <f t="shared" si="41"/>
        <v>0</v>
      </c>
      <c r="J197" s="298">
        <f t="shared" si="42"/>
        <v>21</v>
      </c>
      <c r="K197" s="299">
        <f t="shared" si="43"/>
        <v>70596</v>
      </c>
      <c r="R197" s="497">
        <f t="shared" ref="R197:R260" si="45">IF(MOD(19*MOD(B197,19)+C197,30)+MOD(2*MOD(B197,4)+4*MOD(B197,7)+6*MOD(19*MOD(B197,19)+C197,30)+D197,7)-9&lt;=0,DATE(B197,3,22+MOD(19*MOD(B197,19)+C197,30)+MOD(2*MOD(B197,4)+4*MOD(B197,7)+6*MOD(19*MOD(B197,19)+C197,30)+D197,7)),DATE(B197,4,MOD(19*MOD(B197,19)+C197,30)+MOD(2*MOD(B197,4)+4*MOD(B197,7)+6*MOD(19*MOD(B197,19)+C197,30)+D197,7)-9))</f>
        <v>70596</v>
      </c>
      <c r="T197" s="302">
        <f t="shared" ref="T197:T260" si="46">DOLLAR(("4/"&amp;B197)/7+MOD(19*MOD(B197,19)-7,30)*14%,)*7-6</f>
        <v>70596</v>
      </c>
    </row>
    <row r="198" spans="2:20">
      <c r="B198" s="604">
        <f t="shared" ref="B198:B261" si="47">B197+1</f>
        <v>2094</v>
      </c>
      <c r="C198" s="297">
        <f t="shared" si="44"/>
        <v>24</v>
      </c>
      <c r="D198" s="297">
        <f t="shared" si="36"/>
        <v>5</v>
      </c>
      <c r="E198" s="297">
        <f t="shared" si="37"/>
        <v>4</v>
      </c>
      <c r="F198" s="298">
        <f t="shared" si="38"/>
        <v>2</v>
      </c>
      <c r="G198" s="298">
        <f t="shared" si="39"/>
        <v>1</v>
      </c>
      <c r="H198" s="298">
        <f t="shared" si="40"/>
        <v>10</v>
      </c>
      <c r="I198" s="298">
        <f t="shared" si="41"/>
        <v>3</v>
      </c>
      <c r="J198" s="298">
        <f t="shared" si="42"/>
        <v>13</v>
      </c>
      <c r="K198" s="299">
        <f t="shared" si="43"/>
        <v>70953</v>
      </c>
      <c r="R198" s="497">
        <f t="shared" si="45"/>
        <v>70953</v>
      </c>
      <c r="T198" s="302">
        <f t="shared" si="46"/>
        <v>70953</v>
      </c>
    </row>
    <row r="199" spans="2:20">
      <c r="B199" s="604">
        <f t="shared" si="47"/>
        <v>2095</v>
      </c>
      <c r="C199" s="297">
        <f t="shared" si="44"/>
        <v>24</v>
      </c>
      <c r="D199" s="297">
        <f t="shared" si="36"/>
        <v>5</v>
      </c>
      <c r="E199" s="297">
        <f t="shared" si="37"/>
        <v>5</v>
      </c>
      <c r="F199" s="298">
        <f t="shared" si="38"/>
        <v>3</v>
      </c>
      <c r="G199" s="298">
        <f t="shared" si="39"/>
        <v>2</v>
      </c>
      <c r="H199" s="298">
        <f t="shared" si="40"/>
        <v>29</v>
      </c>
      <c r="I199" s="298">
        <f t="shared" si="41"/>
        <v>4</v>
      </c>
      <c r="J199" s="298">
        <f t="shared" si="42"/>
        <v>33</v>
      </c>
      <c r="K199" s="299">
        <f t="shared" si="43"/>
        <v>71338</v>
      </c>
      <c r="R199" s="497">
        <f t="shared" si="45"/>
        <v>71338</v>
      </c>
      <c r="T199" s="302">
        <f t="shared" si="46"/>
        <v>71338</v>
      </c>
    </row>
    <row r="200" spans="2:20">
      <c r="B200" s="604">
        <f t="shared" si="47"/>
        <v>2096</v>
      </c>
      <c r="C200" s="297">
        <f t="shared" si="44"/>
        <v>24</v>
      </c>
      <c r="D200" s="297">
        <f t="shared" si="36"/>
        <v>5</v>
      </c>
      <c r="E200" s="297">
        <f t="shared" si="37"/>
        <v>6</v>
      </c>
      <c r="F200" s="298">
        <f t="shared" si="38"/>
        <v>0</v>
      </c>
      <c r="G200" s="298">
        <f t="shared" si="39"/>
        <v>3</v>
      </c>
      <c r="H200" s="298">
        <f t="shared" si="40"/>
        <v>18</v>
      </c>
      <c r="I200" s="298">
        <f t="shared" si="41"/>
        <v>6</v>
      </c>
      <c r="J200" s="298">
        <f t="shared" si="42"/>
        <v>24</v>
      </c>
      <c r="K200" s="299">
        <f t="shared" si="43"/>
        <v>71695</v>
      </c>
      <c r="R200" s="497">
        <f t="shared" si="45"/>
        <v>71695</v>
      </c>
      <c r="T200" s="302">
        <f t="shared" si="46"/>
        <v>71695</v>
      </c>
    </row>
    <row r="201" spans="2:20">
      <c r="B201" s="604">
        <f t="shared" si="47"/>
        <v>2097</v>
      </c>
      <c r="C201" s="297">
        <f t="shared" si="44"/>
        <v>24</v>
      </c>
      <c r="D201" s="297">
        <f t="shared" si="36"/>
        <v>5</v>
      </c>
      <c r="E201" s="297">
        <f t="shared" si="37"/>
        <v>7</v>
      </c>
      <c r="F201" s="298">
        <f t="shared" si="38"/>
        <v>1</v>
      </c>
      <c r="G201" s="298">
        <f t="shared" si="39"/>
        <v>4</v>
      </c>
      <c r="H201" s="298">
        <f t="shared" si="40"/>
        <v>7</v>
      </c>
      <c r="I201" s="298">
        <f t="shared" si="41"/>
        <v>2</v>
      </c>
      <c r="J201" s="298">
        <f t="shared" si="42"/>
        <v>9</v>
      </c>
      <c r="K201" s="299">
        <f t="shared" si="43"/>
        <v>72045</v>
      </c>
      <c r="R201" s="497">
        <f t="shared" si="45"/>
        <v>72045</v>
      </c>
      <c r="T201" s="302">
        <f t="shared" si="46"/>
        <v>72045</v>
      </c>
    </row>
    <row r="202" spans="2:20">
      <c r="B202" s="604">
        <f t="shared" si="47"/>
        <v>2098</v>
      </c>
      <c r="C202" s="297">
        <f t="shared" si="44"/>
        <v>24</v>
      </c>
      <c r="D202" s="297">
        <f t="shared" ref="D202:D265" si="48">VLOOKUP(B202,$M$4:$P$86,4,TRUE)</f>
        <v>5</v>
      </c>
      <c r="E202" s="297">
        <f t="shared" ref="E202:E265" si="49">MOD(B202,19)</f>
        <v>8</v>
      </c>
      <c r="F202" s="298">
        <f t="shared" ref="F202:F265" si="50">MOD(B202,4)</f>
        <v>2</v>
      </c>
      <c r="G202" s="298">
        <f t="shared" ref="G202:G265" si="51">MOD(B202,7)</f>
        <v>5</v>
      </c>
      <c r="H202" s="298">
        <f t="shared" ref="H202:H265" si="52">MOD(19*E202+C202,30)</f>
        <v>26</v>
      </c>
      <c r="I202" s="298">
        <f t="shared" ref="I202:I265" si="53">MOD(2*F202+4*G202+6*H202+D202,7)</f>
        <v>3</v>
      </c>
      <c r="J202" s="298">
        <f t="shared" ref="J202:J265" si="54">H202+I202</f>
        <v>29</v>
      </c>
      <c r="K202" s="299">
        <f t="shared" ref="K202:K265" si="55">IF(J202&lt;10,DATE(B202,3,J202+22),IF(J202-9=26,DATE(B202,4,19),IF(AND(J202-9=25,H202=28,I202=6,E202&gt;10),DATE(B202,4,18),DATE(B202,4,J202-9))))</f>
        <v>72430</v>
      </c>
      <c r="R202" s="497">
        <f t="shared" si="45"/>
        <v>72430</v>
      </c>
      <c r="T202" s="302">
        <f t="shared" si="46"/>
        <v>72430</v>
      </c>
    </row>
    <row r="203" spans="2:20">
      <c r="B203" s="604">
        <f t="shared" si="47"/>
        <v>2099</v>
      </c>
      <c r="C203" s="297">
        <f t="shared" si="44"/>
        <v>24</v>
      </c>
      <c r="D203" s="297">
        <f t="shared" si="48"/>
        <v>5</v>
      </c>
      <c r="E203" s="297">
        <f t="shared" si="49"/>
        <v>9</v>
      </c>
      <c r="F203" s="298">
        <f t="shared" si="50"/>
        <v>3</v>
      </c>
      <c r="G203" s="298">
        <f t="shared" si="51"/>
        <v>6</v>
      </c>
      <c r="H203" s="298">
        <f t="shared" si="52"/>
        <v>15</v>
      </c>
      <c r="I203" s="298">
        <f t="shared" si="53"/>
        <v>6</v>
      </c>
      <c r="J203" s="298">
        <f t="shared" si="54"/>
        <v>21</v>
      </c>
      <c r="K203" s="299">
        <f t="shared" si="55"/>
        <v>72787</v>
      </c>
      <c r="R203" s="497">
        <f t="shared" si="45"/>
        <v>72787</v>
      </c>
      <c r="T203" s="302">
        <f t="shared" si="46"/>
        <v>72787</v>
      </c>
    </row>
    <row r="204" spans="2:20">
      <c r="B204" s="604">
        <f t="shared" si="47"/>
        <v>2100</v>
      </c>
      <c r="C204" s="297">
        <f t="shared" si="44"/>
        <v>24</v>
      </c>
      <c r="D204" s="297">
        <f t="shared" si="48"/>
        <v>6</v>
      </c>
      <c r="E204" s="297">
        <f t="shared" si="49"/>
        <v>10</v>
      </c>
      <c r="F204" s="298">
        <f t="shared" si="50"/>
        <v>0</v>
      </c>
      <c r="G204" s="298">
        <f t="shared" si="51"/>
        <v>0</v>
      </c>
      <c r="H204" s="298">
        <f t="shared" si="52"/>
        <v>4</v>
      </c>
      <c r="I204" s="298">
        <f t="shared" si="53"/>
        <v>2</v>
      </c>
      <c r="J204" s="298">
        <f t="shared" si="54"/>
        <v>6</v>
      </c>
      <c r="K204" s="299">
        <f t="shared" si="55"/>
        <v>73137</v>
      </c>
      <c r="R204" s="497">
        <f t="shared" si="45"/>
        <v>73137</v>
      </c>
      <c r="T204" s="302">
        <f t="shared" si="46"/>
        <v>73137</v>
      </c>
    </row>
    <row r="205" spans="2:20">
      <c r="B205" s="604">
        <f t="shared" si="47"/>
        <v>2101</v>
      </c>
      <c r="C205" s="297">
        <f t="shared" si="44"/>
        <v>24</v>
      </c>
      <c r="D205" s="297">
        <f t="shared" si="48"/>
        <v>6</v>
      </c>
      <c r="E205" s="297">
        <f t="shared" si="49"/>
        <v>11</v>
      </c>
      <c r="F205" s="298">
        <f t="shared" si="50"/>
        <v>1</v>
      </c>
      <c r="G205" s="298">
        <f t="shared" si="51"/>
        <v>1</v>
      </c>
      <c r="H205" s="298">
        <f t="shared" si="52"/>
        <v>23</v>
      </c>
      <c r="I205" s="298">
        <f t="shared" si="53"/>
        <v>3</v>
      </c>
      <c r="J205" s="298">
        <f t="shared" si="54"/>
        <v>26</v>
      </c>
      <c r="K205" s="299">
        <f t="shared" si="55"/>
        <v>73522</v>
      </c>
      <c r="R205" s="497">
        <f t="shared" si="45"/>
        <v>73522</v>
      </c>
      <c r="T205" s="302">
        <f t="shared" si="46"/>
        <v>73522</v>
      </c>
    </row>
    <row r="206" spans="2:20">
      <c r="B206" s="604">
        <f t="shared" si="47"/>
        <v>2102</v>
      </c>
      <c r="C206" s="297">
        <f t="shared" si="44"/>
        <v>24</v>
      </c>
      <c r="D206" s="297">
        <f t="shared" si="48"/>
        <v>6</v>
      </c>
      <c r="E206" s="297">
        <f t="shared" si="49"/>
        <v>12</v>
      </c>
      <c r="F206" s="298">
        <f t="shared" si="50"/>
        <v>2</v>
      </c>
      <c r="G206" s="298">
        <f t="shared" si="51"/>
        <v>2</v>
      </c>
      <c r="H206" s="298">
        <f t="shared" si="52"/>
        <v>12</v>
      </c>
      <c r="I206" s="298">
        <f t="shared" si="53"/>
        <v>6</v>
      </c>
      <c r="J206" s="298">
        <f t="shared" si="54"/>
        <v>18</v>
      </c>
      <c r="K206" s="299">
        <f t="shared" si="55"/>
        <v>73879</v>
      </c>
      <c r="R206" s="497">
        <f t="shared" si="45"/>
        <v>73879</v>
      </c>
      <c r="T206" s="302">
        <f t="shared" si="46"/>
        <v>73879</v>
      </c>
    </row>
    <row r="207" spans="2:20">
      <c r="B207" s="604">
        <f t="shared" si="47"/>
        <v>2103</v>
      </c>
      <c r="C207" s="297">
        <f t="shared" si="44"/>
        <v>24</v>
      </c>
      <c r="D207" s="297">
        <f t="shared" si="48"/>
        <v>6</v>
      </c>
      <c r="E207" s="297">
        <f t="shared" si="49"/>
        <v>13</v>
      </c>
      <c r="F207" s="298">
        <f t="shared" si="50"/>
        <v>3</v>
      </c>
      <c r="G207" s="298">
        <f t="shared" si="51"/>
        <v>3</v>
      </c>
      <c r="H207" s="298">
        <f t="shared" si="52"/>
        <v>1</v>
      </c>
      <c r="I207" s="298">
        <f t="shared" si="53"/>
        <v>2</v>
      </c>
      <c r="J207" s="298">
        <f t="shared" si="54"/>
        <v>3</v>
      </c>
      <c r="K207" s="299">
        <f t="shared" si="55"/>
        <v>74229</v>
      </c>
      <c r="R207" s="497">
        <f t="shared" si="45"/>
        <v>74229</v>
      </c>
      <c r="T207" s="302">
        <f t="shared" si="46"/>
        <v>74229</v>
      </c>
    </row>
    <row r="208" spans="2:20">
      <c r="B208" s="604">
        <f t="shared" si="47"/>
        <v>2104</v>
      </c>
      <c r="C208" s="297">
        <f t="shared" si="44"/>
        <v>24</v>
      </c>
      <c r="D208" s="297">
        <f t="shared" si="48"/>
        <v>6</v>
      </c>
      <c r="E208" s="297">
        <f t="shared" si="49"/>
        <v>14</v>
      </c>
      <c r="F208" s="298">
        <f t="shared" si="50"/>
        <v>0</v>
      </c>
      <c r="G208" s="298">
        <f t="shared" si="51"/>
        <v>4</v>
      </c>
      <c r="H208" s="298">
        <f t="shared" si="52"/>
        <v>20</v>
      </c>
      <c r="I208" s="298">
        <f t="shared" si="53"/>
        <v>2</v>
      </c>
      <c r="J208" s="298">
        <f t="shared" si="54"/>
        <v>22</v>
      </c>
      <c r="K208" s="299">
        <f t="shared" si="55"/>
        <v>74614</v>
      </c>
      <c r="R208" s="497">
        <f t="shared" si="45"/>
        <v>74614</v>
      </c>
      <c r="T208" s="302">
        <f t="shared" si="46"/>
        <v>74614</v>
      </c>
    </row>
    <row r="209" spans="2:20">
      <c r="B209" s="604">
        <f t="shared" si="47"/>
        <v>2105</v>
      </c>
      <c r="C209" s="297">
        <f t="shared" si="44"/>
        <v>24</v>
      </c>
      <c r="D209" s="297">
        <f t="shared" si="48"/>
        <v>6</v>
      </c>
      <c r="E209" s="297">
        <f t="shared" si="49"/>
        <v>15</v>
      </c>
      <c r="F209" s="298">
        <f t="shared" si="50"/>
        <v>1</v>
      </c>
      <c r="G209" s="298">
        <f t="shared" si="51"/>
        <v>5</v>
      </c>
      <c r="H209" s="298">
        <f t="shared" si="52"/>
        <v>9</v>
      </c>
      <c r="I209" s="298">
        <f t="shared" si="53"/>
        <v>5</v>
      </c>
      <c r="J209" s="298">
        <f t="shared" si="54"/>
        <v>14</v>
      </c>
      <c r="K209" s="299">
        <f t="shared" si="55"/>
        <v>74971</v>
      </c>
      <c r="R209" s="497">
        <f t="shared" si="45"/>
        <v>74971</v>
      </c>
      <c r="T209" s="302">
        <f t="shared" si="46"/>
        <v>74971</v>
      </c>
    </row>
    <row r="210" spans="2:20">
      <c r="B210" s="604">
        <f t="shared" si="47"/>
        <v>2106</v>
      </c>
      <c r="C210" s="297">
        <f t="shared" si="44"/>
        <v>24</v>
      </c>
      <c r="D210" s="297">
        <f t="shared" si="48"/>
        <v>6</v>
      </c>
      <c r="E210" s="297">
        <f t="shared" si="49"/>
        <v>16</v>
      </c>
      <c r="F210" s="298">
        <f t="shared" si="50"/>
        <v>2</v>
      </c>
      <c r="G210" s="298">
        <f t="shared" si="51"/>
        <v>6</v>
      </c>
      <c r="H210" s="298">
        <f t="shared" si="52"/>
        <v>28</v>
      </c>
      <c r="I210" s="298">
        <f t="shared" si="53"/>
        <v>6</v>
      </c>
      <c r="J210" s="298">
        <f t="shared" si="54"/>
        <v>34</v>
      </c>
      <c r="K210" s="299">
        <f t="shared" si="55"/>
        <v>75349</v>
      </c>
      <c r="R210" s="497">
        <f t="shared" si="45"/>
        <v>75356</v>
      </c>
      <c r="T210" s="302">
        <f t="shared" si="46"/>
        <v>75349</v>
      </c>
    </row>
    <row r="211" spans="2:20">
      <c r="B211" s="604">
        <f t="shared" si="47"/>
        <v>2107</v>
      </c>
      <c r="C211" s="297">
        <f t="shared" si="44"/>
        <v>24</v>
      </c>
      <c r="D211" s="297">
        <f t="shared" si="48"/>
        <v>6</v>
      </c>
      <c r="E211" s="297">
        <f t="shared" si="49"/>
        <v>17</v>
      </c>
      <c r="F211" s="298">
        <f t="shared" si="50"/>
        <v>3</v>
      </c>
      <c r="G211" s="298">
        <f t="shared" si="51"/>
        <v>0</v>
      </c>
      <c r="H211" s="298">
        <f t="shared" si="52"/>
        <v>17</v>
      </c>
      <c r="I211" s="298">
        <f t="shared" si="53"/>
        <v>2</v>
      </c>
      <c r="J211" s="298">
        <f t="shared" si="54"/>
        <v>19</v>
      </c>
      <c r="K211" s="299">
        <f t="shared" si="55"/>
        <v>75706</v>
      </c>
      <c r="R211" s="497">
        <f t="shared" si="45"/>
        <v>75706</v>
      </c>
      <c r="T211" s="302">
        <f t="shared" si="46"/>
        <v>75706</v>
      </c>
    </row>
    <row r="212" spans="2:20">
      <c r="B212" s="604">
        <f t="shared" si="47"/>
        <v>2108</v>
      </c>
      <c r="C212" s="297">
        <f t="shared" si="44"/>
        <v>24</v>
      </c>
      <c r="D212" s="297">
        <f t="shared" si="48"/>
        <v>6</v>
      </c>
      <c r="E212" s="297">
        <f t="shared" si="49"/>
        <v>18</v>
      </c>
      <c r="F212" s="298">
        <f t="shared" si="50"/>
        <v>0</v>
      </c>
      <c r="G212" s="298">
        <f t="shared" si="51"/>
        <v>1</v>
      </c>
      <c r="H212" s="298">
        <f t="shared" si="52"/>
        <v>6</v>
      </c>
      <c r="I212" s="298">
        <f t="shared" si="53"/>
        <v>4</v>
      </c>
      <c r="J212" s="298">
        <f t="shared" si="54"/>
        <v>10</v>
      </c>
      <c r="K212" s="299">
        <f t="shared" si="55"/>
        <v>76063</v>
      </c>
      <c r="R212" s="497">
        <f t="shared" si="45"/>
        <v>76063</v>
      </c>
      <c r="T212" s="302">
        <f t="shared" si="46"/>
        <v>76063</v>
      </c>
    </row>
    <row r="213" spans="2:20">
      <c r="B213" s="604">
        <f t="shared" si="47"/>
        <v>2109</v>
      </c>
      <c r="C213" s="297">
        <f t="shared" si="44"/>
        <v>24</v>
      </c>
      <c r="D213" s="297">
        <f t="shared" si="48"/>
        <v>6</v>
      </c>
      <c r="E213" s="297">
        <f t="shared" si="49"/>
        <v>0</v>
      </c>
      <c r="F213" s="298">
        <f t="shared" si="50"/>
        <v>1</v>
      </c>
      <c r="G213" s="298">
        <f t="shared" si="51"/>
        <v>2</v>
      </c>
      <c r="H213" s="298">
        <f t="shared" si="52"/>
        <v>24</v>
      </c>
      <c r="I213" s="298">
        <f t="shared" si="53"/>
        <v>6</v>
      </c>
      <c r="J213" s="298">
        <f t="shared" si="54"/>
        <v>30</v>
      </c>
      <c r="K213" s="299">
        <f t="shared" si="55"/>
        <v>76448</v>
      </c>
      <c r="R213" s="497">
        <f t="shared" si="45"/>
        <v>76448</v>
      </c>
      <c r="T213" s="302">
        <f t="shared" si="46"/>
        <v>76448</v>
      </c>
    </row>
    <row r="214" spans="2:20">
      <c r="B214" s="604">
        <f t="shared" si="47"/>
        <v>2110</v>
      </c>
      <c r="C214" s="297">
        <f t="shared" si="44"/>
        <v>24</v>
      </c>
      <c r="D214" s="297">
        <f t="shared" si="48"/>
        <v>6</v>
      </c>
      <c r="E214" s="297">
        <f t="shared" si="49"/>
        <v>1</v>
      </c>
      <c r="F214" s="298">
        <f t="shared" si="50"/>
        <v>2</v>
      </c>
      <c r="G214" s="298">
        <f t="shared" si="51"/>
        <v>3</v>
      </c>
      <c r="H214" s="298">
        <f t="shared" si="52"/>
        <v>13</v>
      </c>
      <c r="I214" s="298">
        <f t="shared" si="53"/>
        <v>2</v>
      </c>
      <c r="J214" s="298">
        <f t="shared" si="54"/>
        <v>15</v>
      </c>
      <c r="K214" s="299">
        <f t="shared" si="55"/>
        <v>76798</v>
      </c>
      <c r="R214" s="497">
        <f t="shared" si="45"/>
        <v>76798</v>
      </c>
      <c r="T214" s="302">
        <f t="shared" si="46"/>
        <v>76798</v>
      </c>
    </row>
    <row r="215" spans="2:20">
      <c r="B215" s="604">
        <f t="shared" si="47"/>
        <v>2111</v>
      </c>
      <c r="C215" s="297">
        <f t="shared" si="44"/>
        <v>24</v>
      </c>
      <c r="D215" s="297">
        <f t="shared" si="48"/>
        <v>6</v>
      </c>
      <c r="E215" s="297">
        <f t="shared" si="49"/>
        <v>2</v>
      </c>
      <c r="F215" s="298">
        <f t="shared" si="50"/>
        <v>3</v>
      </c>
      <c r="G215" s="298">
        <f t="shared" si="51"/>
        <v>4</v>
      </c>
      <c r="H215" s="298">
        <f t="shared" si="52"/>
        <v>2</v>
      </c>
      <c r="I215" s="298">
        <f t="shared" si="53"/>
        <v>5</v>
      </c>
      <c r="J215" s="298">
        <f t="shared" si="54"/>
        <v>7</v>
      </c>
      <c r="K215" s="299">
        <f t="shared" si="55"/>
        <v>77155</v>
      </c>
      <c r="R215" s="497">
        <f t="shared" si="45"/>
        <v>77155</v>
      </c>
      <c r="T215" s="302">
        <f t="shared" si="46"/>
        <v>77155</v>
      </c>
    </row>
    <row r="216" spans="2:20">
      <c r="B216" s="604">
        <f t="shared" si="47"/>
        <v>2112</v>
      </c>
      <c r="C216" s="297">
        <f t="shared" si="44"/>
        <v>24</v>
      </c>
      <c r="D216" s="297">
        <f t="shared" si="48"/>
        <v>6</v>
      </c>
      <c r="E216" s="297">
        <f t="shared" si="49"/>
        <v>3</v>
      </c>
      <c r="F216" s="298">
        <f t="shared" si="50"/>
        <v>0</v>
      </c>
      <c r="G216" s="298">
        <f t="shared" si="51"/>
        <v>5</v>
      </c>
      <c r="H216" s="298">
        <f t="shared" si="52"/>
        <v>21</v>
      </c>
      <c r="I216" s="298">
        <f t="shared" si="53"/>
        <v>5</v>
      </c>
      <c r="J216" s="298">
        <f t="shared" si="54"/>
        <v>26</v>
      </c>
      <c r="K216" s="299">
        <f t="shared" si="55"/>
        <v>77540</v>
      </c>
      <c r="R216" s="497">
        <f t="shared" si="45"/>
        <v>77540</v>
      </c>
      <c r="T216" s="302">
        <f t="shared" si="46"/>
        <v>77540</v>
      </c>
    </row>
    <row r="217" spans="2:20">
      <c r="B217" s="604">
        <f t="shared" si="47"/>
        <v>2113</v>
      </c>
      <c r="C217" s="297">
        <f t="shared" si="44"/>
        <v>24</v>
      </c>
      <c r="D217" s="297">
        <f t="shared" si="48"/>
        <v>6</v>
      </c>
      <c r="E217" s="297">
        <f t="shared" si="49"/>
        <v>4</v>
      </c>
      <c r="F217" s="298">
        <f t="shared" si="50"/>
        <v>1</v>
      </c>
      <c r="G217" s="298">
        <f t="shared" si="51"/>
        <v>6</v>
      </c>
      <c r="H217" s="298">
        <f t="shared" si="52"/>
        <v>10</v>
      </c>
      <c r="I217" s="298">
        <f t="shared" si="53"/>
        <v>1</v>
      </c>
      <c r="J217" s="298">
        <f t="shared" si="54"/>
        <v>11</v>
      </c>
      <c r="K217" s="299">
        <f t="shared" si="55"/>
        <v>77890</v>
      </c>
      <c r="R217" s="497">
        <f t="shared" si="45"/>
        <v>77890</v>
      </c>
      <c r="T217" s="302">
        <f t="shared" si="46"/>
        <v>77890</v>
      </c>
    </row>
    <row r="218" spans="2:20">
      <c r="B218" s="604">
        <f t="shared" si="47"/>
        <v>2114</v>
      </c>
      <c r="C218" s="297">
        <f t="shared" si="44"/>
        <v>24</v>
      </c>
      <c r="D218" s="297">
        <f t="shared" si="48"/>
        <v>6</v>
      </c>
      <c r="E218" s="297">
        <f t="shared" si="49"/>
        <v>5</v>
      </c>
      <c r="F218" s="298">
        <f t="shared" si="50"/>
        <v>2</v>
      </c>
      <c r="G218" s="298">
        <f t="shared" si="51"/>
        <v>0</v>
      </c>
      <c r="H218" s="298">
        <f t="shared" si="52"/>
        <v>29</v>
      </c>
      <c r="I218" s="298">
        <f t="shared" si="53"/>
        <v>2</v>
      </c>
      <c r="J218" s="298">
        <f t="shared" si="54"/>
        <v>31</v>
      </c>
      <c r="K218" s="299">
        <f t="shared" si="55"/>
        <v>78275</v>
      </c>
      <c r="R218" s="497">
        <f t="shared" si="45"/>
        <v>78275</v>
      </c>
      <c r="T218" s="302">
        <f t="shared" si="46"/>
        <v>78275</v>
      </c>
    </row>
    <row r="219" spans="2:20">
      <c r="B219" s="604">
        <f t="shared" si="47"/>
        <v>2115</v>
      </c>
      <c r="C219" s="297">
        <f t="shared" si="44"/>
        <v>24</v>
      </c>
      <c r="D219" s="297">
        <f t="shared" si="48"/>
        <v>6</v>
      </c>
      <c r="E219" s="297">
        <f t="shared" si="49"/>
        <v>6</v>
      </c>
      <c r="F219" s="298">
        <f t="shared" si="50"/>
        <v>3</v>
      </c>
      <c r="G219" s="298">
        <f t="shared" si="51"/>
        <v>1</v>
      </c>
      <c r="H219" s="298">
        <f t="shared" si="52"/>
        <v>18</v>
      </c>
      <c r="I219" s="298">
        <f t="shared" si="53"/>
        <v>5</v>
      </c>
      <c r="J219" s="298">
        <f t="shared" si="54"/>
        <v>23</v>
      </c>
      <c r="K219" s="299">
        <f t="shared" si="55"/>
        <v>78632</v>
      </c>
      <c r="R219" s="497">
        <f t="shared" si="45"/>
        <v>78632</v>
      </c>
      <c r="T219" s="302">
        <f t="shared" si="46"/>
        <v>78632</v>
      </c>
    </row>
    <row r="220" spans="2:20">
      <c r="B220" s="604">
        <f t="shared" si="47"/>
        <v>2116</v>
      </c>
      <c r="C220" s="297">
        <f t="shared" si="44"/>
        <v>24</v>
      </c>
      <c r="D220" s="297">
        <f t="shared" si="48"/>
        <v>6</v>
      </c>
      <c r="E220" s="297">
        <f t="shared" si="49"/>
        <v>7</v>
      </c>
      <c r="F220" s="298">
        <f t="shared" si="50"/>
        <v>0</v>
      </c>
      <c r="G220" s="298">
        <f t="shared" si="51"/>
        <v>2</v>
      </c>
      <c r="H220" s="298">
        <f t="shared" si="52"/>
        <v>7</v>
      </c>
      <c r="I220" s="298">
        <f t="shared" si="53"/>
        <v>0</v>
      </c>
      <c r="J220" s="298">
        <f t="shared" si="54"/>
        <v>7</v>
      </c>
      <c r="K220" s="299">
        <f t="shared" si="55"/>
        <v>78982</v>
      </c>
      <c r="R220" s="497">
        <f t="shared" si="45"/>
        <v>78982</v>
      </c>
      <c r="T220" s="302">
        <f t="shared" si="46"/>
        <v>78982</v>
      </c>
    </row>
    <row r="221" spans="2:20">
      <c r="B221" s="604">
        <f t="shared" si="47"/>
        <v>2117</v>
      </c>
      <c r="C221" s="297">
        <f t="shared" si="44"/>
        <v>24</v>
      </c>
      <c r="D221" s="297">
        <f t="shared" si="48"/>
        <v>6</v>
      </c>
      <c r="E221" s="297">
        <f t="shared" si="49"/>
        <v>8</v>
      </c>
      <c r="F221" s="298">
        <f t="shared" si="50"/>
        <v>1</v>
      </c>
      <c r="G221" s="298">
        <f t="shared" si="51"/>
        <v>3</v>
      </c>
      <c r="H221" s="298">
        <f t="shared" si="52"/>
        <v>26</v>
      </c>
      <c r="I221" s="298">
        <f t="shared" si="53"/>
        <v>1</v>
      </c>
      <c r="J221" s="298">
        <f t="shared" si="54"/>
        <v>27</v>
      </c>
      <c r="K221" s="299">
        <f t="shared" si="55"/>
        <v>79367</v>
      </c>
      <c r="R221" s="497">
        <f t="shared" si="45"/>
        <v>79367</v>
      </c>
      <c r="T221" s="302">
        <f t="shared" si="46"/>
        <v>79367</v>
      </c>
    </row>
    <row r="222" spans="2:20">
      <c r="B222" s="604">
        <f t="shared" si="47"/>
        <v>2118</v>
      </c>
      <c r="C222" s="297">
        <f t="shared" si="44"/>
        <v>24</v>
      </c>
      <c r="D222" s="297">
        <f t="shared" si="48"/>
        <v>6</v>
      </c>
      <c r="E222" s="297">
        <f t="shared" si="49"/>
        <v>9</v>
      </c>
      <c r="F222" s="298">
        <f t="shared" si="50"/>
        <v>2</v>
      </c>
      <c r="G222" s="298">
        <f t="shared" si="51"/>
        <v>4</v>
      </c>
      <c r="H222" s="298">
        <f t="shared" si="52"/>
        <v>15</v>
      </c>
      <c r="I222" s="298">
        <f t="shared" si="53"/>
        <v>4</v>
      </c>
      <c r="J222" s="298">
        <f t="shared" si="54"/>
        <v>19</v>
      </c>
      <c r="K222" s="299">
        <f t="shared" si="55"/>
        <v>79724</v>
      </c>
      <c r="R222" s="497">
        <f t="shared" si="45"/>
        <v>79724</v>
      </c>
      <c r="T222" s="302">
        <f t="shared" si="46"/>
        <v>79724</v>
      </c>
    </row>
    <row r="223" spans="2:20">
      <c r="B223" s="604">
        <f t="shared" si="47"/>
        <v>2119</v>
      </c>
      <c r="C223" s="297">
        <f t="shared" si="44"/>
        <v>24</v>
      </c>
      <c r="D223" s="297">
        <f t="shared" si="48"/>
        <v>6</v>
      </c>
      <c r="E223" s="297">
        <f t="shared" si="49"/>
        <v>10</v>
      </c>
      <c r="F223" s="298">
        <f t="shared" si="50"/>
        <v>3</v>
      </c>
      <c r="G223" s="298">
        <f t="shared" si="51"/>
        <v>5</v>
      </c>
      <c r="H223" s="298">
        <f t="shared" si="52"/>
        <v>4</v>
      </c>
      <c r="I223" s="298">
        <f t="shared" si="53"/>
        <v>0</v>
      </c>
      <c r="J223" s="298">
        <f t="shared" si="54"/>
        <v>4</v>
      </c>
      <c r="K223" s="299">
        <f t="shared" si="55"/>
        <v>80074</v>
      </c>
      <c r="R223" s="497">
        <f t="shared" si="45"/>
        <v>80074</v>
      </c>
      <c r="T223" s="302">
        <f t="shared" si="46"/>
        <v>80074</v>
      </c>
    </row>
    <row r="224" spans="2:20">
      <c r="B224" s="604">
        <f t="shared" si="47"/>
        <v>2120</v>
      </c>
      <c r="C224" s="297">
        <f t="shared" si="44"/>
        <v>24</v>
      </c>
      <c r="D224" s="297">
        <f t="shared" si="48"/>
        <v>6</v>
      </c>
      <c r="E224" s="297">
        <f t="shared" si="49"/>
        <v>11</v>
      </c>
      <c r="F224" s="298">
        <f t="shared" si="50"/>
        <v>0</v>
      </c>
      <c r="G224" s="298">
        <f t="shared" si="51"/>
        <v>6</v>
      </c>
      <c r="H224" s="298">
        <f t="shared" si="52"/>
        <v>23</v>
      </c>
      <c r="I224" s="298">
        <f t="shared" si="53"/>
        <v>0</v>
      </c>
      <c r="J224" s="298">
        <f t="shared" si="54"/>
        <v>23</v>
      </c>
      <c r="K224" s="299">
        <f t="shared" si="55"/>
        <v>80459</v>
      </c>
      <c r="R224" s="497">
        <f t="shared" si="45"/>
        <v>80459</v>
      </c>
      <c r="T224" s="302">
        <f t="shared" si="46"/>
        <v>80459</v>
      </c>
    </row>
    <row r="225" spans="2:20">
      <c r="B225" s="604">
        <f t="shared" si="47"/>
        <v>2121</v>
      </c>
      <c r="C225" s="297">
        <f t="shared" si="44"/>
        <v>24</v>
      </c>
      <c r="D225" s="297">
        <f t="shared" si="48"/>
        <v>6</v>
      </c>
      <c r="E225" s="297">
        <f t="shared" si="49"/>
        <v>12</v>
      </c>
      <c r="F225" s="298">
        <f t="shared" si="50"/>
        <v>1</v>
      </c>
      <c r="G225" s="298">
        <f t="shared" si="51"/>
        <v>0</v>
      </c>
      <c r="H225" s="298">
        <f t="shared" si="52"/>
        <v>12</v>
      </c>
      <c r="I225" s="298">
        <f t="shared" si="53"/>
        <v>3</v>
      </c>
      <c r="J225" s="298">
        <f t="shared" si="54"/>
        <v>15</v>
      </c>
      <c r="K225" s="299">
        <f t="shared" si="55"/>
        <v>80816</v>
      </c>
      <c r="R225" s="497">
        <f t="shared" si="45"/>
        <v>80816</v>
      </c>
      <c r="T225" s="302">
        <f t="shared" si="46"/>
        <v>80816</v>
      </c>
    </row>
    <row r="226" spans="2:20">
      <c r="B226" s="604">
        <f t="shared" si="47"/>
        <v>2122</v>
      </c>
      <c r="C226" s="297">
        <f t="shared" si="44"/>
        <v>24</v>
      </c>
      <c r="D226" s="297">
        <f t="shared" si="48"/>
        <v>6</v>
      </c>
      <c r="E226" s="297">
        <f t="shared" si="49"/>
        <v>13</v>
      </c>
      <c r="F226" s="298">
        <f t="shared" si="50"/>
        <v>2</v>
      </c>
      <c r="G226" s="298">
        <f t="shared" si="51"/>
        <v>1</v>
      </c>
      <c r="H226" s="298">
        <f t="shared" si="52"/>
        <v>1</v>
      </c>
      <c r="I226" s="298">
        <f t="shared" si="53"/>
        <v>6</v>
      </c>
      <c r="J226" s="298">
        <f t="shared" si="54"/>
        <v>7</v>
      </c>
      <c r="K226" s="299">
        <f t="shared" si="55"/>
        <v>81173</v>
      </c>
      <c r="R226" s="497">
        <f t="shared" si="45"/>
        <v>81173</v>
      </c>
      <c r="T226" s="302">
        <f t="shared" si="46"/>
        <v>81173</v>
      </c>
    </row>
    <row r="227" spans="2:20">
      <c r="B227" s="604">
        <f t="shared" si="47"/>
        <v>2123</v>
      </c>
      <c r="C227" s="297">
        <f t="shared" si="44"/>
        <v>24</v>
      </c>
      <c r="D227" s="297">
        <f t="shared" si="48"/>
        <v>6</v>
      </c>
      <c r="E227" s="297">
        <f t="shared" si="49"/>
        <v>14</v>
      </c>
      <c r="F227" s="298">
        <f t="shared" si="50"/>
        <v>3</v>
      </c>
      <c r="G227" s="298">
        <f t="shared" si="51"/>
        <v>2</v>
      </c>
      <c r="H227" s="298">
        <f t="shared" si="52"/>
        <v>20</v>
      </c>
      <c r="I227" s="298">
        <f t="shared" si="53"/>
        <v>0</v>
      </c>
      <c r="J227" s="298">
        <f t="shared" si="54"/>
        <v>20</v>
      </c>
      <c r="K227" s="299">
        <f t="shared" si="55"/>
        <v>81551</v>
      </c>
      <c r="R227" s="497">
        <f t="shared" si="45"/>
        <v>81551</v>
      </c>
      <c r="T227" s="302">
        <f t="shared" si="46"/>
        <v>81551</v>
      </c>
    </row>
    <row r="228" spans="2:20">
      <c r="B228" s="604">
        <f t="shared" si="47"/>
        <v>2124</v>
      </c>
      <c r="C228" s="297">
        <f t="shared" si="44"/>
        <v>24</v>
      </c>
      <c r="D228" s="297">
        <f t="shared" si="48"/>
        <v>6</v>
      </c>
      <c r="E228" s="297">
        <f t="shared" si="49"/>
        <v>15</v>
      </c>
      <c r="F228" s="298">
        <f t="shared" si="50"/>
        <v>0</v>
      </c>
      <c r="G228" s="298">
        <f t="shared" si="51"/>
        <v>3</v>
      </c>
      <c r="H228" s="298">
        <f t="shared" si="52"/>
        <v>9</v>
      </c>
      <c r="I228" s="298">
        <f t="shared" si="53"/>
        <v>2</v>
      </c>
      <c r="J228" s="298">
        <f t="shared" si="54"/>
        <v>11</v>
      </c>
      <c r="K228" s="299">
        <f t="shared" si="55"/>
        <v>81908</v>
      </c>
      <c r="R228" s="497">
        <f t="shared" si="45"/>
        <v>81908</v>
      </c>
      <c r="T228" s="302">
        <f t="shared" si="46"/>
        <v>81908</v>
      </c>
    </row>
    <row r="229" spans="2:20">
      <c r="B229" s="604">
        <f t="shared" si="47"/>
        <v>2125</v>
      </c>
      <c r="C229" s="297">
        <f t="shared" si="44"/>
        <v>24</v>
      </c>
      <c r="D229" s="297">
        <f t="shared" si="48"/>
        <v>6</v>
      </c>
      <c r="E229" s="297">
        <f t="shared" si="49"/>
        <v>16</v>
      </c>
      <c r="F229" s="298">
        <f t="shared" si="50"/>
        <v>1</v>
      </c>
      <c r="G229" s="298">
        <f t="shared" si="51"/>
        <v>4</v>
      </c>
      <c r="H229" s="298">
        <f t="shared" si="52"/>
        <v>28</v>
      </c>
      <c r="I229" s="298">
        <f t="shared" si="53"/>
        <v>3</v>
      </c>
      <c r="J229" s="298">
        <f t="shared" si="54"/>
        <v>31</v>
      </c>
      <c r="K229" s="299">
        <f t="shared" si="55"/>
        <v>82293</v>
      </c>
      <c r="R229" s="497">
        <f t="shared" si="45"/>
        <v>82293</v>
      </c>
      <c r="T229" s="302">
        <f t="shared" si="46"/>
        <v>82293</v>
      </c>
    </row>
    <row r="230" spans="2:20">
      <c r="B230" s="604">
        <f t="shared" si="47"/>
        <v>2126</v>
      </c>
      <c r="C230" s="297">
        <f t="shared" si="44"/>
        <v>24</v>
      </c>
      <c r="D230" s="297">
        <f t="shared" si="48"/>
        <v>6</v>
      </c>
      <c r="E230" s="297">
        <f t="shared" si="49"/>
        <v>17</v>
      </c>
      <c r="F230" s="298">
        <f t="shared" si="50"/>
        <v>2</v>
      </c>
      <c r="G230" s="298">
        <f t="shared" si="51"/>
        <v>5</v>
      </c>
      <c r="H230" s="298">
        <f t="shared" si="52"/>
        <v>17</v>
      </c>
      <c r="I230" s="298">
        <f t="shared" si="53"/>
        <v>6</v>
      </c>
      <c r="J230" s="298">
        <f t="shared" si="54"/>
        <v>23</v>
      </c>
      <c r="K230" s="299">
        <f t="shared" si="55"/>
        <v>82650</v>
      </c>
      <c r="R230" s="497">
        <f t="shared" si="45"/>
        <v>82650</v>
      </c>
      <c r="T230" s="302">
        <f t="shared" si="46"/>
        <v>82650</v>
      </c>
    </row>
    <row r="231" spans="2:20">
      <c r="B231" s="604">
        <f t="shared" si="47"/>
        <v>2127</v>
      </c>
      <c r="C231" s="297">
        <f t="shared" si="44"/>
        <v>24</v>
      </c>
      <c r="D231" s="297">
        <f t="shared" si="48"/>
        <v>6</v>
      </c>
      <c r="E231" s="297">
        <f t="shared" si="49"/>
        <v>18</v>
      </c>
      <c r="F231" s="298">
        <f t="shared" si="50"/>
        <v>3</v>
      </c>
      <c r="G231" s="298">
        <f t="shared" si="51"/>
        <v>6</v>
      </c>
      <c r="H231" s="298">
        <f t="shared" si="52"/>
        <v>6</v>
      </c>
      <c r="I231" s="298">
        <f t="shared" si="53"/>
        <v>2</v>
      </c>
      <c r="J231" s="298">
        <f t="shared" si="54"/>
        <v>8</v>
      </c>
      <c r="K231" s="299">
        <f t="shared" si="55"/>
        <v>83000</v>
      </c>
      <c r="R231" s="497">
        <f t="shared" si="45"/>
        <v>83000</v>
      </c>
      <c r="T231" s="302">
        <f t="shared" si="46"/>
        <v>83000</v>
      </c>
    </row>
    <row r="232" spans="2:20">
      <c r="B232" s="604">
        <f t="shared" si="47"/>
        <v>2128</v>
      </c>
      <c r="C232" s="297">
        <f t="shared" si="44"/>
        <v>24</v>
      </c>
      <c r="D232" s="297">
        <f t="shared" si="48"/>
        <v>6</v>
      </c>
      <c r="E232" s="297">
        <f t="shared" si="49"/>
        <v>0</v>
      </c>
      <c r="F232" s="298">
        <f t="shared" si="50"/>
        <v>0</v>
      </c>
      <c r="G232" s="298">
        <f t="shared" si="51"/>
        <v>0</v>
      </c>
      <c r="H232" s="298">
        <f t="shared" si="52"/>
        <v>24</v>
      </c>
      <c r="I232" s="298">
        <f t="shared" si="53"/>
        <v>3</v>
      </c>
      <c r="J232" s="298">
        <f t="shared" si="54"/>
        <v>27</v>
      </c>
      <c r="K232" s="299">
        <f t="shared" si="55"/>
        <v>83385</v>
      </c>
      <c r="R232" s="497">
        <f t="shared" si="45"/>
        <v>83385</v>
      </c>
      <c r="T232" s="302">
        <f t="shared" si="46"/>
        <v>83385</v>
      </c>
    </row>
    <row r="233" spans="2:20">
      <c r="B233" s="604">
        <f t="shared" si="47"/>
        <v>2129</v>
      </c>
      <c r="C233" s="297">
        <f t="shared" si="44"/>
        <v>24</v>
      </c>
      <c r="D233" s="297">
        <f t="shared" si="48"/>
        <v>6</v>
      </c>
      <c r="E233" s="297">
        <f t="shared" si="49"/>
        <v>1</v>
      </c>
      <c r="F233" s="298">
        <f t="shared" si="50"/>
        <v>1</v>
      </c>
      <c r="G233" s="298">
        <f t="shared" si="51"/>
        <v>1</v>
      </c>
      <c r="H233" s="298">
        <f t="shared" si="52"/>
        <v>13</v>
      </c>
      <c r="I233" s="298">
        <f t="shared" si="53"/>
        <v>6</v>
      </c>
      <c r="J233" s="298">
        <f t="shared" si="54"/>
        <v>19</v>
      </c>
      <c r="K233" s="299">
        <f t="shared" si="55"/>
        <v>83742</v>
      </c>
      <c r="R233" s="497">
        <f t="shared" si="45"/>
        <v>83742</v>
      </c>
      <c r="T233" s="302">
        <f t="shared" si="46"/>
        <v>83742</v>
      </c>
    </row>
    <row r="234" spans="2:20">
      <c r="B234" s="604">
        <f t="shared" si="47"/>
        <v>2130</v>
      </c>
      <c r="C234" s="297">
        <f t="shared" si="44"/>
        <v>24</v>
      </c>
      <c r="D234" s="297">
        <f t="shared" si="48"/>
        <v>6</v>
      </c>
      <c r="E234" s="297">
        <f t="shared" si="49"/>
        <v>2</v>
      </c>
      <c r="F234" s="298">
        <f t="shared" si="50"/>
        <v>2</v>
      </c>
      <c r="G234" s="298">
        <f t="shared" si="51"/>
        <v>2</v>
      </c>
      <c r="H234" s="298">
        <f t="shared" si="52"/>
        <v>2</v>
      </c>
      <c r="I234" s="298">
        <f t="shared" si="53"/>
        <v>2</v>
      </c>
      <c r="J234" s="298">
        <f t="shared" si="54"/>
        <v>4</v>
      </c>
      <c r="K234" s="299">
        <f t="shared" si="55"/>
        <v>84092</v>
      </c>
      <c r="R234" s="497">
        <f t="shared" si="45"/>
        <v>84092</v>
      </c>
      <c r="T234" s="302">
        <f t="shared" si="46"/>
        <v>84092</v>
      </c>
    </row>
    <row r="235" spans="2:20">
      <c r="B235" s="604">
        <f t="shared" si="47"/>
        <v>2131</v>
      </c>
      <c r="C235" s="297">
        <f t="shared" si="44"/>
        <v>24</v>
      </c>
      <c r="D235" s="297">
        <f t="shared" si="48"/>
        <v>6</v>
      </c>
      <c r="E235" s="297">
        <f t="shared" si="49"/>
        <v>3</v>
      </c>
      <c r="F235" s="298">
        <f t="shared" si="50"/>
        <v>3</v>
      </c>
      <c r="G235" s="298">
        <f t="shared" si="51"/>
        <v>3</v>
      </c>
      <c r="H235" s="298">
        <f t="shared" si="52"/>
        <v>21</v>
      </c>
      <c r="I235" s="298">
        <f t="shared" si="53"/>
        <v>3</v>
      </c>
      <c r="J235" s="298">
        <f t="shared" si="54"/>
        <v>24</v>
      </c>
      <c r="K235" s="299">
        <f t="shared" si="55"/>
        <v>84477</v>
      </c>
      <c r="R235" s="497">
        <f t="shared" si="45"/>
        <v>84477</v>
      </c>
      <c r="T235" s="302">
        <f t="shared" si="46"/>
        <v>84477</v>
      </c>
    </row>
    <row r="236" spans="2:20">
      <c r="B236" s="604">
        <f t="shared" si="47"/>
        <v>2132</v>
      </c>
      <c r="C236" s="297">
        <f t="shared" si="44"/>
        <v>24</v>
      </c>
      <c r="D236" s="297">
        <f t="shared" si="48"/>
        <v>6</v>
      </c>
      <c r="E236" s="297">
        <f t="shared" si="49"/>
        <v>4</v>
      </c>
      <c r="F236" s="298">
        <f t="shared" si="50"/>
        <v>0</v>
      </c>
      <c r="G236" s="298">
        <f t="shared" si="51"/>
        <v>4</v>
      </c>
      <c r="H236" s="298">
        <f t="shared" si="52"/>
        <v>10</v>
      </c>
      <c r="I236" s="298">
        <f t="shared" si="53"/>
        <v>5</v>
      </c>
      <c r="J236" s="298">
        <f t="shared" si="54"/>
        <v>15</v>
      </c>
      <c r="K236" s="299">
        <f t="shared" si="55"/>
        <v>84834</v>
      </c>
      <c r="R236" s="497">
        <f t="shared" si="45"/>
        <v>84834</v>
      </c>
      <c r="T236" s="302">
        <f t="shared" si="46"/>
        <v>84834</v>
      </c>
    </row>
    <row r="237" spans="2:20">
      <c r="B237" s="604">
        <f t="shared" si="47"/>
        <v>2133</v>
      </c>
      <c r="C237" s="297">
        <f t="shared" si="44"/>
        <v>24</v>
      </c>
      <c r="D237" s="297">
        <f t="shared" si="48"/>
        <v>6</v>
      </c>
      <c r="E237" s="297">
        <f t="shared" si="49"/>
        <v>5</v>
      </c>
      <c r="F237" s="298">
        <f t="shared" si="50"/>
        <v>1</v>
      </c>
      <c r="G237" s="298">
        <f t="shared" si="51"/>
        <v>5</v>
      </c>
      <c r="H237" s="298">
        <f t="shared" si="52"/>
        <v>29</v>
      </c>
      <c r="I237" s="298">
        <f t="shared" si="53"/>
        <v>6</v>
      </c>
      <c r="J237" s="298">
        <f t="shared" si="54"/>
        <v>35</v>
      </c>
      <c r="K237" s="299">
        <f t="shared" si="55"/>
        <v>85212</v>
      </c>
      <c r="R237" s="497">
        <f t="shared" si="45"/>
        <v>85219</v>
      </c>
      <c r="T237" s="302">
        <f t="shared" si="46"/>
        <v>85212</v>
      </c>
    </row>
    <row r="238" spans="2:20">
      <c r="B238" s="604">
        <f t="shared" si="47"/>
        <v>2134</v>
      </c>
      <c r="C238" s="297">
        <f t="shared" si="44"/>
        <v>24</v>
      </c>
      <c r="D238" s="297">
        <f t="shared" si="48"/>
        <v>6</v>
      </c>
      <c r="E238" s="297">
        <f t="shared" si="49"/>
        <v>6</v>
      </c>
      <c r="F238" s="298">
        <f t="shared" si="50"/>
        <v>2</v>
      </c>
      <c r="G238" s="298">
        <f t="shared" si="51"/>
        <v>6</v>
      </c>
      <c r="H238" s="298">
        <f t="shared" si="52"/>
        <v>18</v>
      </c>
      <c r="I238" s="298">
        <f t="shared" si="53"/>
        <v>2</v>
      </c>
      <c r="J238" s="298">
        <f t="shared" si="54"/>
        <v>20</v>
      </c>
      <c r="K238" s="299">
        <f t="shared" si="55"/>
        <v>85569</v>
      </c>
      <c r="R238" s="497">
        <f t="shared" si="45"/>
        <v>85569</v>
      </c>
      <c r="T238" s="302">
        <f t="shared" si="46"/>
        <v>85569</v>
      </c>
    </row>
    <row r="239" spans="2:20">
      <c r="B239" s="604">
        <f t="shared" si="47"/>
        <v>2135</v>
      </c>
      <c r="C239" s="297">
        <f t="shared" si="44"/>
        <v>24</v>
      </c>
      <c r="D239" s="297">
        <f t="shared" si="48"/>
        <v>6</v>
      </c>
      <c r="E239" s="297">
        <f t="shared" si="49"/>
        <v>7</v>
      </c>
      <c r="F239" s="298">
        <f t="shared" si="50"/>
        <v>3</v>
      </c>
      <c r="G239" s="298">
        <f t="shared" si="51"/>
        <v>0</v>
      </c>
      <c r="H239" s="298">
        <f t="shared" si="52"/>
        <v>7</v>
      </c>
      <c r="I239" s="298">
        <f t="shared" si="53"/>
        <v>5</v>
      </c>
      <c r="J239" s="298">
        <f t="shared" si="54"/>
        <v>12</v>
      </c>
      <c r="K239" s="299">
        <f t="shared" si="55"/>
        <v>85926</v>
      </c>
      <c r="R239" s="497">
        <f t="shared" si="45"/>
        <v>85926</v>
      </c>
      <c r="T239" s="302">
        <f t="shared" si="46"/>
        <v>85926</v>
      </c>
    </row>
    <row r="240" spans="2:20">
      <c r="B240" s="604">
        <f t="shared" si="47"/>
        <v>2136</v>
      </c>
      <c r="C240" s="297">
        <f t="shared" si="44"/>
        <v>24</v>
      </c>
      <c r="D240" s="297">
        <f t="shared" si="48"/>
        <v>6</v>
      </c>
      <c r="E240" s="297">
        <f t="shared" si="49"/>
        <v>8</v>
      </c>
      <c r="F240" s="298">
        <f t="shared" si="50"/>
        <v>0</v>
      </c>
      <c r="G240" s="298">
        <f t="shared" si="51"/>
        <v>1</v>
      </c>
      <c r="H240" s="298">
        <f t="shared" si="52"/>
        <v>26</v>
      </c>
      <c r="I240" s="298">
        <f t="shared" si="53"/>
        <v>5</v>
      </c>
      <c r="J240" s="298">
        <f t="shared" si="54"/>
        <v>31</v>
      </c>
      <c r="K240" s="299">
        <f t="shared" si="55"/>
        <v>86311</v>
      </c>
      <c r="R240" s="497">
        <f t="shared" si="45"/>
        <v>86311</v>
      </c>
      <c r="T240" s="302">
        <f t="shared" si="46"/>
        <v>86311</v>
      </c>
    </row>
    <row r="241" spans="2:20">
      <c r="B241" s="604">
        <f t="shared" si="47"/>
        <v>2137</v>
      </c>
      <c r="C241" s="297">
        <f t="shared" si="44"/>
        <v>24</v>
      </c>
      <c r="D241" s="297">
        <f t="shared" si="48"/>
        <v>6</v>
      </c>
      <c r="E241" s="297">
        <f t="shared" si="49"/>
        <v>9</v>
      </c>
      <c r="F241" s="298">
        <f t="shared" si="50"/>
        <v>1</v>
      </c>
      <c r="G241" s="298">
        <f t="shared" si="51"/>
        <v>2</v>
      </c>
      <c r="H241" s="298">
        <f t="shared" si="52"/>
        <v>15</v>
      </c>
      <c r="I241" s="298">
        <f t="shared" si="53"/>
        <v>1</v>
      </c>
      <c r="J241" s="298">
        <f t="shared" si="54"/>
        <v>16</v>
      </c>
      <c r="K241" s="299">
        <f t="shared" si="55"/>
        <v>86661</v>
      </c>
      <c r="R241" s="497">
        <f t="shared" si="45"/>
        <v>86661</v>
      </c>
      <c r="T241" s="302">
        <f t="shared" si="46"/>
        <v>86661</v>
      </c>
    </row>
    <row r="242" spans="2:20">
      <c r="B242" s="604">
        <f t="shared" si="47"/>
        <v>2138</v>
      </c>
      <c r="C242" s="297">
        <f t="shared" si="44"/>
        <v>24</v>
      </c>
      <c r="D242" s="297">
        <f t="shared" si="48"/>
        <v>6</v>
      </c>
      <c r="E242" s="297">
        <f t="shared" si="49"/>
        <v>10</v>
      </c>
      <c r="F242" s="298">
        <f t="shared" si="50"/>
        <v>2</v>
      </c>
      <c r="G242" s="298">
        <f t="shared" si="51"/>
        <v>3</v>
      </c>
      <c r="H242" s="298">
        <f t="shared" si="52"/>
        <v>4</v>
      </c>
      <c r="I242" s="298">
        <f t="shared" si="53"/>
        <v>4</v>
      </c>
      <c r="J242" s="298">
        <f t="shared" si="54"/>
        <v>8</v>
      </c>
      <c r="K242" s="299">
        <f t="shared" si="55"/>
        <v>87018</v>
      </c>
      <c r="R242" s="497">
        <f t="shared" si="45"/>
        <v>87018</v>
      </c>
      <c r="T242" s="302">
        <f t="shared" si="46"/>
        <v>87018</v>
      </c>
    </row>
    <row r="243" spans="2:20">
      <c r="B243" s="604">
        <f t="shared" si="47"/>
        <v>2139</v>
      </c>
      <c r="C243" s="297">
        <f t="shared" si="44"/>
        <v>24</v>
      </c>
      <c r="D243" s="297">
        <f t="shared" si="48"/>
        <v>6</v>
      </c>
      <c r="E243" s="297">
        <f t="shared" si="49"/>
        <v>11</v>
      </c>
      <c r="F243" s="298">
        <f t="shared" si="50"/>
        <v>3</v>
      </c>
      <c r="G243" s="298">
        <f t="shared" si="51"/>
        <v>4</v>
      </c>
      <c r="H243" s="298">
        <f t="shared" si="52"/>
        <v>23</v>
      </c>
      <c r="I243" s="298">
        <f t="shared" si="53"/>
        <v>5</v>
      </c>
      <c r="J243" s="298">
        <f t="shared" si="54"/>
        <v>28</v>
      </c>
      <c r="K243" s="299">
        <f t="shared" si="55"/>
        <v>87403</v>
      </c>
      <c r="R243" s="497">
        <f t="shared" si="45"/>
        <v>87403</v>
      </c>
      <c r="T243" s="302">
        <f t="shared" si="46"/>
        <v>87403</v>
      </c>
    </row>
    <row r="244" spans="2:20">
      <c r="B244" s="604">
        <f t="shared" si="47"/>
        <v>2140</v>
      </c>
      <c r="C244" s="297">
        <f t="shared" si="44"/>
        <v>24</v>
      </c>
      <c r="D244" s="297">
        <f t="shared" si="48"/>
        <v>6</v>
      </c>
      <c r="E244" s="297">
        <f t="shared" si="49"/>
        <v>12</v>
      </c>
      <c r="F244" s="298">
        <f t="shared" si="50"/>
        <v>0</v>
      </c>
      <c r="G244" s="298">
        <f t="shared" si="51"/>
        <v>5</v>
      </c>
      <c r="H244" s="298">
        <f t="shared" si="52"/>
        <v>12</v>
      </c>
      <c r="I244" s="298">
        <f t="shared" si="53"/>
        <v>0</v>
      </c>
      <c r="J244" s="298">
        <f t="shared" si="54"/>
        <v>12</v>
      </c>
      <c r="K244" s="299">
        <f t="shared" si="55"/>
        <v>87753</v>
      </c>
      <c r="R244" s="497">
        <f t="shared" si="45"/>
        <v>87753</v>
      </c>
      <c r="T244" s="302">
        <f t="shared" si="46"/>
        <v>87753</v>
      </c>
    </row>
    <row r="245" spans="2:20">
      <c r="B245" s="604">
        <f t="shared" si="47"/>
        <v>2141</v>
      </c>
      <c r="C245" s="297">
        <f t="shared" si="44"/>
        <v>24</v>
      </c>
      <c r="D245" s="297">
        <f t="shared" si="48"/>
        <v>6</v>
      </c>
      <c r="E245" s="297">
        <f t="shared" si="49"/>
        <v>13</v>
      </c>
      <c r="F245" s="298">
        <f t="shared" si="50"/>
        <v>1</v>
      </c>
      <c r="G245" s="298">
        <f t="shared" si="51"/>
        <v>6</v>
      </c>
      <c r="H245" s="298">
        <f t="shared" si="52"/>
        <v>1</v>
      </c>
      <c r="I245" s="298">
        <f t="shared" si="53"/>
        <v>3</v>
      </c>
      <c r="J245" s="298">
        <f t="shared" si="54"/>
        <v>4</v>
      </c>
      <c r="K245" s="299">
        <f t="shared" si="55"/>
        <v>88110</v>
      </c>
      <c r="R245" s="497">
        <f t="shared" si="45"/>
        <v>88110</v>
      </c>
      <c r="T245" s="302">
        <f t="shared" si="46"/>
        <v>88110</v>
      </c>
    </row>
    <row r="246" spans="2:20">
      <c r="B246" s="604">
        <f t="shared" si="47"/>
        <v>2142</v>
      </c>
      <c r="C246" s="297">
        <f t="shared" si="44"/>
        <v>24</v>
      </c>
      <c r="D246" s="297">
        <f t="shared" si="48"/>
        <v>6</v>
      </c>
      <c r="E246" s="297">
        <f t="shared" si="49"/>
        <v>14</v>
      </c>
      <c r="F246" s="298">
        <f t="shared" si="50"/>
        <v>2</v>
      </c>
      <c r="G246" s="298">
        <f t="shared" si="51"/>
        <v>0</v>
      </c>
      <c r="H246" s="298">
        <f t="shared" si="52"/>
        <v>20</v>
      </c>
      <c r="I246" s="298">
        <f t="shared" si="53"/>
        <v>4</v>
      </c>
      <c r="J246" s="298">
        <f t="shared" si="54"/>
        <v>24</v>
      </c>
      <c r="K246" s="299">
        <f t="shared" si="55"/>
        <v>88495</v>
      </c>
      <c r="R246" s="497">
        <f t="shared" si="45"/>
        <v>88495</v>
      </c>
      <c r="T246" s="302">
        <f t="shared" si="46"/>
        <v>88495</v>
      </c>
    </row>
    <row r="247" spans="2:20">
      <c r="B247" s="604">
        <f t="shared" si="47"/>
        <v>2143</v>
      </c>
      <c r="C247" s="297">
        <f t="shared" si="44"/>
        <v>24</v>
      </c>
      <c r="D247" s="297">
        <f t="shared" si="48"/>
        <v>6</v>
      </c>
      <c r="E247" s="297">
        <f t="shared" si="49"/>
        <v>15</v>
      </c>
      <c r="F247" s="298">
        <f t="shared" si="50"/>
        <v>3</v>
      </c>
      <c r="G247" s="298">
        <f t="shared" si="51"/>
        <v>1</v>
      </c>
      <c r="H247" s="298">
        <f t="shared" si="52"/>
        <v>9</v>
      </c>
      <c r="I247" s="298">
        <f t="shared" si="53"/>
        <v>0</v>
      </c>
      <c r="J247" s="298">
        <f t="shared" si="54"/>
        <v>9</v>
      </c>
      <c r="K247" s="299">
        <f t="shared" si="55"/>
        <v>88845</v>
      </c>
      <c r="R247" s="497">
        <f t="shared" si="45"/>
        <v>88845</v>
      </c>
      <c r="T247" s="302">
        <f t="shared" si="46"/>
        <v>88845</v>
      </c>
    </row>
    <row r="248" spans="2:20">
      <c r="B248" s="604">
        <f t="shared" si="47"/>
        <v>2144</v>
      </c>
      <c r="C248" s="297">
        <f t="shared" si="44"/>
        <v>24</v>
      </c>
      <c r="D248" s="297">
        <f t="shared" si="48"/>
        <v>6</v>
      </c>
      <c r="E248" s="297">
        <f t="shared" si="49"/>
        <v>16</v>
      </c>
      <c r="F248" s="298">
        <f t="shared" si="50"/>
        <v>0</v>
      </c>
      <c r="G248" s="298">
        <f t="shared" si="51"/>
        <v>2</v>
      </c>
      <c r="H248" s="298">
        <f t="shared" si="52"/>
        <v>28</v>
      </c>
      <c r="I248" s="298">
        <f t="shared" si="53"/>
        <v>0</v>
      </c>
      <c r="J248" s="298">
        <f t="shared" si="54"/>
        <v>28</v>
      </c>
      <c r="K248" s="299">
        <f t="shared" si="55"/>
        <v>89230</v>
      </c>
      <c r="R248" s="497">
        <f t="shared" si="45"/>
        <v>89230</v>
      </c>
      <c r="T248" s="302">
        <f t="shared" si="46"/>
        <v>89230</v>
      </c>
    </row>
    <row r="249" spans="2:20">
      <c r="B249" s="604">
        <f t="shared" si="47"/>
        <v>2145</v>
      </c>
      <c r="C249" s="297">
        <f t="shared" si="44"/>
        <v>24</v>
      </c>
      <c r="D249" s="297">
        <f t="shared" si="48"/>
        <v>6</v>
      </c>
      <c r="E249" s="297">
        <f t="shared" si="49"/>
        <v>17</v>
      </c>
      <c r="F249" s="298">
        <f t="shared" si="50"/>
        <v>1</v>
      </c>
      <c r="G249" s="298">
        <f t="shared" si="51"/>
        <v>3</v>
      </c>
      <c r="H249" s="298">
        <f t="shared" si="52"/>
        <v>17</v>
      </c>
      <c r="I249" s="298">
        <f t="shared" si="53"/>
        <v>3</v>
      </c>
      <c r="J249" s="298">
        <f t="shared" si="54"/>
        <v>20</v>
      </c>
      <c r="K249" s="299">
        <f t="shared" si="55"/>
        <v>89587</v>
      </c>
      <c r="R249" s="497">
        <f t="shared" si="45"/>
        <v>89587</v>
      </c>
      <c r="T249" s="302">
        <f t="shared" si="46"/>
        <v>89587</v>
      </c>
    </row>
    <row r="250" spans="2:20">
      <c r="B250" s="604">
        <f t="shared" si="47"/>
        <v>2146</v>
      </c>
      <c r="C250" s="297">
        <f t="shared" si="44"/>
        <v>24</v>
      </c>
      <c r="D250" s="297">
        <f t="shared" si="48"/>
        <v>6</v>
      </c>
      <c r="E250" s="297">
        <f t="shared" si="49"/>
        <v>18</v>
      </c>
      <c r="F250" s="298">
        <f t="shared" si="50"/>
        <v>2</v>
      </c>
      <c r="G250" s="298">
        <f t="shared" si="51"/>
        <v>4</v>
      </c>
      <c r="H250" s="298">
        <f t="shared" si="52"/>
        <v>6</v>
      </c>
      <c r="I250" s="298">
        <f t="shared" si="53"/>
        <v>6</v>
      </c>
      <c r="J250" s="298">
        <f t="shared" si="54"/>
        <v>12</v>
      </c>
      <c r="K250" s="299">
        <f t="shared" si="55"/>
        <v>89944</v>
      </c>
      <c r="R250" s="497">
        <f t="shared" si="45"/>
        <v>89944</v>
      </c>
      <c r="T250" s="302">
        <f t="shared" si="46"/>
        <v>89944</v>
      </c>
    </row>
    <row r="251" spans="2:20">
      <c r="B251" s="604">
        <f t="shared" si="47"/>
        <v>2147</v>
      </c>
      <c r="C251" s="297">
        <f t="shared" si="44"/>
        <v>24</v>
      </c>
      <c r="D251" s="297">
        <f t="shared" si="48"/>
        <v>6</v>
      </c>
      <c r="E251" s="297">
        <f t="shared" si="49"/>
        <v>0</v>
      </c>
      <c r="F251" s="298">
        <f t="shared" si="50"/>
        <v>3</v>
      </c>
      <c r="G251" s="298">
        <f t="shared" si="51"/>
        <v>5</v>
      </c>
      <c r="H251" s="298">
        <f t="shared" si="52"/>
        <v>24</v>
      </c>
      <c r="I251" s="298">
        <f t="shared" si="53"/>
        <v>1</v>
      </c>
      <c r="J251" s="298">
        <f t="shared" si="54"/>
        <v>25</v>
      </c>
      <c r="K251" s="299">
        <f t="shared" si="55"/>
        <v>90322</v>
      </c>
      <c r="R251" s="497">
        <f t="shared" si="45"/>
        <v>90322</v>
      </c>
      <c r="T251" s="302">
        <f t="shared" si="46"/>
        <v>90322</v>
      </c>
    </row>
    <row r="252" spans="2:20">
      <c r="B252" s="604">
        <f t="shared" si="47"/>
        <v>2148</v>
      </c>
      <c r="C252" s="297">
        <f t="shared" si="44"/>
        <v>24</v>
      </c>
      <c r="D252" s="297">
        <f t="shared" si="48"/>
        <v>6</v>
      </c>
      <c r="E252" s="297">
        <f t="shared" si="49"/>
        <v>1</v>
      </c>
      <c r="F252" s="298">
        <f t="shared" si="50"/>
        <v>0</v>
      </c>
      <c r="G252" s="298">
        <f t="shared" si="51"/>
        <v>6</v>
      </c>
      <c r="H252" s="298">
        <f t="shared" si="52"/>
        <v>13</v>
      </c>
      <c r="I252" s="298">
        <f t="shared" si="53"/>
        <v>3</v>
      </c>
      <c r="J252" s="298">
        <f t="shared" si="54"/>
        <v>16</v>
      </c>
      <c r="K252" s="299">
        <f t="shared" si="55"/>
        <v>90679</v>
      </c>
      <c r="R252" s="497">
        <f t="shared" si="45"/>
        <v>90679</v>
      </c>
      <c r="T252" s="302">
        <f t="shared" si="46"/>
        <v>90679</v>
      </c>
    </row>
    <row r="253" spans="2:20">
      <c r="B253" s="604">
        <f t="shared" si="47"/>
        <v>2149</v>
      </c>
      <c r="C253" s="297">
        <f t="shared" si="44"/>
        <v>24</v>
      </c>
      <c r="D253" s="297">
        <f t="shared" si="48"/>
        <v>6</v>
      </c>
      <c r="E253" s="297">
        <f t="shared" si="49"/>
        <v>2</v>
      </c>
      <c r="F253" s="298">
        <f t="shared" si="50"/>
        <v>1</v>
      </c>
      <c r="G253" s="298">
        <f t="shared" si="51"/>
        <v>0</v>
      </c>
      <c r="H253" s="298">
        <f t="shared" si="52"/>
        <v>2</v>
      </c>
      <c r="I253" s="298">
        <f t="shared" si="53"/>
        <v>6</v>
      </c>
      <c r="J253" s="298">
        <f t="shared" si="54"/>
        <v>8</v>
      </c>
      <c r="K253" s="299">
        <f t="shared" si="55"/>
        <v>91036</v>
      </c>
      <c r="R253" s="497">
        <f t="shared" si="45"/>
        <v>91036</v>
      </c>
      <c r="T253" s="302">
        <f t="shared" si="46"/>
        <v>91036</v>
      </c>
    </row>
    <row r="254" spans="2:20">
      <c r="B254" s="604">
        <f t="shared" si="47"/>
        <v>2150</v>
      </c>
      <c r="C254" s="297">
        <f t="shared" si="44"/>
        <v>24</v>
      </c>
      <c r="D254" s="297">
        <f t="shared" si="48"/>
        <v>6</v>
      </c>
      <c r="E254" s="297">
        <f t="shared" si="49"/>
        <v>3</v>
      </c>
      <c r="F254" s="298">
        <f t="shared" si="50"/>
        <v>2</v>
      </c>
      <c r="G254" s="298">
        <f t="shared" si="51"/>
        <v>1</v>
      </c>
      <c r="H254" s="298">
        <f t="shared" si="52"/>
        <v>21</v>
      </c>
      <c r="I254" s="298">
        <f t="shared" si="53"/>
        <v>0</v>
      </c>
      <c r="J254" s="298">
        <f t="shared" si="54"/>
        <v>21</v>
      </c>
      <c r="K254" s="299">
        <f t="shared" si="55"/>
        <v>91414</v>
      </c>
      <c r="R254" s="497">
        <f t="shared" si="45"/>
        <v>91414</v>
      </c>
      <c r="T254" s="302">
        <f t="shared" si="46"/>
        <v>91414</v>
      </c>
    </row>
    <row r="255" spans="2:20">
      <c r="B255" s="604">
        <f t="shared" si="47"/>
        <v>2151</v>
      </c>
      <c r="C255" s="297">
        <f t="shared" si="44"/>
        <v>24</v>
      </c>
      <c r="D255" s="297">
        <f t="shared" si="48"/>
        <v>6</v>
      </c>
      <c r="E255" s="297">
        <f t="shared" si="49"/>
        <v>4</v>
      </c>
      <c r="F255" s="298">
        <f t="shared" si="50"/>
        <v>3</v>
      </c>
      <c r="G255" s="298">
        <f t="shared" si="51"/>
        <v>2</v>
      </c>
      <c r="H255" s="298">
        <f t="shared" si="52"/>
        <v>10</v>
      </c>
      <c r="I255" s="298">
        <f t="shared" si="53"/>
        <v>3</v>
      </c>
      <c r="J255" s="298">
        <f t="shared" si="54"/>
        <v>13</v>
      </c>
      <c r="K255" s="299">
        <f t="shared" si="55"/>
        <v>91771</v>
      </c>
      <c r="R255" s="497">
        <f t="shared" si="45"/>
        <v>91771</v>
      </c>
      <c r="T255" s="302">
        <f t="shared" si="46"/>
        <v>91771</v>
      </c>
    </row>
    <row r="256" spans="2:20">
      <c r="B256" s="604">
        <f t="shared" si="47"/>
        <v>2152</v>
      </c>
      <c r="C256" s="297">
        <f t="shared" si="44"/>
        <v>24</v>
      </c>
      <c r="D256" s="297">
        <f t="shared" si="48"/>
        <v>6</v>
      </c>
      <c r="E256" s="297">
        <f t="shared" si="49"/>
        <v>5</v>
      </c>
      <c r="F256" s="298">
        <f t="shared" si="50"/>
        <v>0</v>
      </c>
      <c r="G256" s="298">
        <f t="shared" si="51"/>
        <v>3</v>
      </c>
      <c r="H256" s="298">
        <f t="shared" si="52"/>
        <v>29</v>
      </c>
      <c r="I256" s="298">
        <f t="shared" si="53"/>
        <v>3</v>
      </c>
      <c r="J256" s="298">
        <f t="shared" si="54"/>
        <v>32</v>
      </c>
      <c r="K256" s="299">
        <f t="shared" si="55"/>
        <v>92156</v>
      </c>
      <c r="R256" s="497">
        <f t="shared" si="45"/>
        <v>92156</v>
      </c>
      <c r="T256" s="302">
        <f t="shared" si="46"/>
        <v>92156</v>
      </c>
    </row>
    <row r="257" spans="2:20">
      <c r="B257" s="604">
        <f t="shared" si="47"/>
        <v>2153</v>
      </c>
      <c r="C257" s="297">
        <f t="shared" si="44"/>
        <v>24</v>
      </c>
      <c r="D257" s="297">
        <f t="shared" si="48"/>
        <v>6</v>
      </c>
      <c r="E257" s="297">
        <f t="shared" si="49"/>
        <v>6</v>
      </c>
      <c r="F257" s="298">
        <f t="shared" si="50"/>
        <v>1</v>
      </c>
      <c r="G257" s="298">
        <f t="shared" si="51"/>
        <v>4</v>
      </c>
      <c r="H257" s="298">
        <f t="shared" si="52"/>
        <v>18</v>
      </c>
      <c r="I257" s="298">
        <f t="shared" si="53"/>
        <v>6</v>
      </c>
      <c r="J257" s="298">
        <f t="shared" si="54"/>
        <v>24</v>
      </c>
      <c r="K257" s="299">
        <f t="shared" si="55"/>
        <v>92513</v>
      </c>
      <c r="R257" s="497">
        <f t="shared" si="45"/>
        <v>92513</v>
      </c>
      <c r="T257" s="302">
        <f t="shared" si="46"/>
        <v>92513</v>
      </c>
    </row>
    <row r="258" spans="2:20">
      <c r="B258" s="604">
        <f t="shared" si="47"/>
        <v>2154</v>
      </c>
      <c r="C258" s="297">
        <f t="shared" si="44"/>
        <v>24</v>
      </c>
      <c r="D258" s="297">
        <f t="shared" si="48"/>
        <v>6</v>
      </c>
      <c r="E258" s="297">
        <f t="shared" si="49"/>
        <v>7</v>
      </c>
      <c r="F258" s="298">
        <f t="shared" si="50"/>
        <v>2</v>
      </c>
      <c r="G258" s="298">
        <f t="shared" si="51"/>
        <v>5</v>
      </c>
      <c r="H258" s="298">
        <f t="shared" si="52"/>
        <v>7</v>
      </c>
      <c r="I258" s="298">
        <f t="shared" si="53"/>
        <v>2</v>
      </c>
      <c r="J258" s="298">
        <f t="shared" si="54"/>
        <v>9</v>
      </c>
      <c r="K258" s="299">
        <f t="shared" si="55"/>
        <v>92863</v>
      </c>
      <c r="R258" s="497">
        <f t="shared" si="45"/>
        <v>92863</v>
      </c>
      <c r="T258" s="302">
        <f t="shared" si="46"/>
        <v>92863</v>
      </c>
    </row>
    <row r="259" spans="2:20">
      <c r="B259" s="604">
        <f t="shared" si="47"/>
        <v>2155</v>
      </c>
      <c r="C259" s="297">
        <f t="shared" si="44"/>
        <v>24</v>
      </c>
      <c r="D259" s="297">
        <f t="shared" si="48"/>
        <v>6</v>
      </c>
      <c r="E259" s="297">
        <f t="shared" si="49"/>
        <v>8</v>
      </c>
      <c r="F259" s="298">
        <f t="shared" si="50"/>
        <v>3</v>
      </c>
      <c r="G259" s="298">
        <f t="shared" si="51"/>
        <v>6</v>
      </c>
      <c r="H259" s="298">
        <f t="shared" si="52"/>
        <v>26</v>
      </c>
      <c r="I259" s="298">
        <f t="shared" si="53"/>
        <v>3</v>
      </c>
      <c r="J259" s="298">
        <f t="shared" si="54"/>
        <v>29</v>
      </c>
      <c r="K259" s="299">
        <f t="shared" si="55"/>
        <v>93248</v>
      </c>
      <c r="R259" s="497">
        <f t="shared" si="45"/>
        <v>93248</v>
      </c>
      <c r="T259" s="302">
        <f t="shared" si="46"/>
        <v>93248</v>
      </c>
    </row>
    <row r="260" spans="2:20">
      <c r="B260" s="604">
        <f t="shared" si="47"/>
        <v>2156</v>
      </c>
      <c r="C260" s="297">
        <f t="shared" si="44"/>
        <v>24</v>
      </c>
      <c r="D260" s="297">
        <f t="shared" si="48"/>
        <v>6</v>
      </c>
      <c r="E260" s="297">
        <f t="shared" si="49"/>
        <v>9</v>
      </c>
      <c r="F260" s="298">
        <f t="shared" si="50"/>
        <v>0</v>
      </c>
      <c r="G260" s="298">
        <f t="shared" si="51"/>
        <v>0</v>
      </c>
      <c r="H260" s="298">
        <f t="shared" si="52"/>
        <v>15</v>
      </c>
      <c r="I260" s="298">
        <f t="shared" si="53"/>
        <v>5</v>
      </c>
      <c r="J260" s="298">
        <f t="shared" si="54"/>
        <v>20</v>
      </c>
      <c r="K260" s="299">
        <f t="shared" si="55"/>
        <v>93605</v>
      </c>
      <c r="R260" s="497">
        <f t="shared" si="45"/>
        <v>93605</v>
      </c>
      <c r="T260" s="302">
        <f t="shared" si="46"/>
        <v>93605</v>
      </c>
    </row>
    <row r="261" spans="2:20">
      <c r="B261" s="604">
        <f t="shared" si="47"/>
        <v>2157</v>
      </c>
      <c r="C261" s="297">
        <f t="shared" ref="C261:C324" si="56">VLOOKUP(B261,$M$4:$P$86,3,TRUE)</f>
        <v>24</v>
      </c>
      <c r="D261" s="297">
        <f t="shared" si="48"/>
        <v>6</v>
      </c>
      <c r="E261" s="297">
        <f t="shared" si="49"/>
        <v>10</v>
      </c>
      <c r="F261" s="298">
        <f t="shared" si="50"/>
        <v>1</v>
      </c>
      <c r="G261" s="298">
        <f t="shared" si="51"/>
        <v>1</v>
      </c>
      <c r="H261" s="298">
        <f t="shared" si="52"/>
        <v>4</v>
      </c>
      <c r="I261" s="298">
        <f t="shared" si="53"/>
        <v>1</v>
      </c>
      <c r="J261" s="298">
        <f t="shared" si="54"/>
        <v>5</v>
      </c>
      <c r="K261" s="299">
        <f t="shared" si="55"/>
        <v>93955</v>
      </c>
      <c r="R261" s="497">
        <f t="shared" ref="R261:R324" si="57">IF(MOD(19*MOD(B261,19)+C261,30)+MOD(2*MOD(B261,4)+4*MOD(B261,7)+6*MOD(19*MOD(B261,19)+C261,30)+D261,7)-9&lt;=0,DATE(B261,3,22+MOD(19*MOD(B261,19)+C261,30)+MOD(2*MOD(B261,4)+4*MOD(B261,7)+6*MOD(19*MOD(B261,19)+C261,30)+D261,7)),DATE(B261,4,MOD(19*MOD(B261,19)+C261,30)+MOD(2*MOD(B261,4)+4*MOD(B261,7)+6*MOD(19*MOD(B261,19)+C261,30)+D261,7)-9))</f>
        <v>93955</v>
      </c>
      <c r="T261" s="302">
        <f t="shared" ref="T261:T324" si="58">DOLLAR(("4/"&amp;B261)/7+MOD(19*MOD(B261,19)-7,30)*14%,)*7-6</f>
        <v>93955</v>
      </c>
    </row>
    <row r="262" spans="2:20">
      <c r="B262" s="604">
        <f t="shared" ref="B262:B325" si="59">B261+1</f>
        <v>2158</v>
      </c>
      <c r="C262" s="297">
        <f t="shared" si="56"/>
        <v>24</v>
      </c>
      <c r="D262" s="297">
        <f t="shared" si="48"/>
        <v>6</v>
      </c>
      <c r="E262" s="297">
        <f t="shared" si="49"/>
        <v>11</v>
      </c>
      <c r="F262" s="298">
        <f t="shared" si="50"/>
        <v>2</v>
      </c>
      <c r="G262" s="298">
        <f t="shared" si="51"/>
        <v>2</v>
      </c>
      <c r="H262" s="298">
        <f t="shared" si="52"/>
        <v>23</v>
      </c>
      <c r="I262" s="298">
        <f t="shared" si="53"/>
        <v>2</v>
      </c>
      <c r="J262" s="298">
        <f t="shared" si="54"/>
        <v>25</v>
      </c>
      <c r="K262" s="299">
        <f t="shared" si="55"/>
        <v>94340</v>
      </c>
      <c r="R262" s="497">
        <f t="shared" si="57"/>
        <v>94340</v>
      </c>
      <c r="T262" s="302">
        <f t="shared" si="58"/>
        <v>94340</v>
      </c>
    </row>
    <row r="263" spans="2:20">
      <c r="B263" s="604">
        <f t="shared" si="59"/>
        <v>2159</v>
      </c>
      <c r="C263" s="297">
        <f t="shared" si="56"/>
        <v>24</v>
      </c>
      <c r="D263" s="297">
        <f t="shared" si="48"/>
        <v>6</v>
      </c>
      <c r="E263" s="297">
        <f t="shared" si="49"/>
        <v>12</v>
      </c>
      <c r="F263" s="298">
        <f t="shared" si="50"/>
        <v>3</v>
      </c>
      <c r="G263" s="298">
        <f t="shared" si="51"/>
        <v>3</v>
      </c>
      <c r="H263" s="298">
        <f t="shared" si="52"/>
        <v>12</v>
      </c>
      <c r="I263" s="298">
        <f t="shared" si="53"/>
        <v>5</v>
      </c>
      <c r="J263" s="298">
        <f t="shared" si="54"/>
        <v>17</v>
      </c>
      <c r="K263" s="299">
        <f t="shared" si="55"/>
        <v>94697</v>
      </c>
      <c r="R263" s="497">
        <f t="shared" si="57"/>
        <v>94697</v>
      </c>
      <c r="T263" s="302">
        <f t="shared" si="58"/>
        <v>94697</v>
      </c>
    </row>
    <row r="264" spans="2:20">
      <c r="B264" s="604">
        <f t="shared" si="59"/>
        <v>2160</v>
      </c>
      <c r="C264" s="297">
        <f t="shared" si="56"/>
        <v>24</v>
      </c>
      <c r="D264" s="297">
        <f t="shared" si="48"/>
        <v>6</v>
      </c>
      <c r="E264" s="297">
        <f t="shared" si="49"/>
        <v>13</v>
      </c>
      <c r="F264" s="298">
        <f t="shared" si="50"/>
        <v>0</v>
      </c>
      <c r="G264" s="298">
        <f t="shared" si="51"/>
        <v>4</v>
      </c>
      <c r="H264" s="298">
        <f t="shared" si="52"/>
        <v>1</v>
      </c>
      <c r="I264" s="298">
        <f t="shared" si="53"/>
        <v>0</v>
      </c>
      <c r="J264" s="298">
        <f t="shared" si="54"/>
        <v>1</v>
      </c>
      <c r="K264" s="299">
        <f t="shared" si="55"/>
        <v>95047</v>
      </c>
      <c r="R264" s="497">
        <f t="shared" si="57"/>
        <v>95047</v>
      </c>
      <c r="T264" s="302">
        <f t="shared" si="58"/>
        <v>95047</v>
      </c>
    </row>
    <row r="265" spans="2:20">
      <c r="B265" s="604">
        <f t="shared" si="59"/>
        <v>2161</v>
      </c>
      <c r="C265" s="297">
        <f t="shared" si="56"/>
        <v>24</v>
      </c>
      <c r="D265" s="297">
        <f t="shared" si="48"/>
        <v>6</v>
      </c>
      <c r="E265" s="297">
        <f t="shared" si="49"/>
        <v>14</v>
      </c>
      <c r="F265" s="298">
        <f t="shared" si="50"/>
        <v>1</v>
      </c>
      <c r="G265" s="298">
        <f t="shared" si="51"/>
        <v>5</v>
      </c>
      <c r="H265" s="298">
        <f t="shared" si="52"/>
        <v>20</v>
      </c>
      <c r="I265" s="298">
        <f t="shared" si="53"/>
        <v>1</v>
      </c>
      <c r="J265" s="298">
        <f t="shared" si="54"/>
        <v>21</v>
      </c>
      <c r="K265" s="299">
        <f t="shared" si="55"/>
        <v>95432</v>
      </c>
      <c r="R265" s="497">
        <f t="shared" si="57"/>
        <v>95432</v>
      </c>
      <c r="T265" s="302">
        <f t="shared" si="58"/>
        <v>95432</v>
      </c>
    </row>
    <row r="266" spans="2:20">
      <c r="B266" s="604">
        <f t="shared" si="59"/>
        <v>2162</v>
      </c>
      <c r="C266" s="297">
        <f t="shared" si="56"/>
        <v>24</v>
      </c>
      <c r="D266" s="297">
        <f t="shared" ref="D266:D329" si="60">VLOOKUP(B266,$M$4:$P$86,4,TRUE)</f>
        <v>6</v>
      </c>
      <c r="E266" s="297">
        <f t="shared" ref="E266:E329" si="61">MOD(B266,19)</f>
        <v>15</v>
      </c>
      <c r="F266" s="298">
        <f t="shared" ref="F266:F329" si="62">MOD(B266,4)</f>
        <v>2</v>
      </c>
      <c r="G266" s="298">
        <f t="shared" ref="G266:G329" si="63">MOD(B266,7)</f>
        <v>6</v>
      </c>
      <c r="H266" s="298">
        <f t="shared" ref="H266:H329" si="64">MOD(19*E266+C266,30)</f>
        <v>9</v>
      </c>
      <c r="I266" s="298">
        <f t="shared" ref="I266:I329" si="65">MOD(2*F266+4*G266+6*H266+D266,7)</f>
        <v>4</v>
      </c>
      <c r="J266" s="298">
        <f t="shared" ref="J266:J329" si="66">H266+I266</f>
        <v>13</v>
      </c>
      <c r="K266" s="299">
        <f t="shared" ref="K266:K329" si="67">IF(J266&lt;10,DATE(B266,3,J266+22),IF(J266-9=26,DATE(B266,4,19),IF(AND(J266-9=25,H266=28,I266=6,E266&gt;10),DATE(B266,4,18),DATE(B266,4,J266-9))))</f>
        <v>95789</v>
      </c>
      <c r="R266" s="497">
        <f t="shared" si="57"/>
        <v>95789</v>
      </c>
      <c r="T266" s="302">
        <f t="shared" si="58"/>
        <v>95789</v>
      </c>
    </row>
    <row r="267" spans="2:20">
      <c r="B267" s="604">
        <f t="shared" si="59"/>
        <v>2163</v>
      </c>
      <c r="C267" s="297">
        <f t="shared" si="56"/>
        <v>24</v>
      </c>
      <c r="D267" s="297">
        <f t="shared" si="60"/>
        <v>6</v>
      </c>
      <c r="E267" s="297">
        <f t="shared" si="61"/>
        <v>16</v>
      </c>
      <c r="F267" s="298">
        <f t="shared" si="62"/>
        <v>3</v>
      </c>
      <c r="G267" s="298">
        <f t="shared" si="63"/>
        <v>0</v>
      </c>
      <c r="H267" s="298">
        <f t="shared" si="64"/>
        <v>28</v>
      </c>
      <c r="I267" s="298">
        <f t="shared" si="65"/>
        <v>5</v>
      </c>
      <c r="J267" s="298">
        <f t="shared" si="66"/>
        <v>33</v>
      </c>
      <c r="K267" s="299">
        <f t="shared" si="67"/>
        <v>96174</v>
      </c>
      <c r="R267" s="497">
        <f t="shared" si="57"/>
        <v>96174</v>
      </c>
      <c r="T267" s="302">
        <f t="shared" si="58"/>
        <v>96174</v>
      </c>
    </row>
    <row r="268" spans="2:20">
      <c r="B268" s="604">
        <f t="shared" si="59"/>
        <v>2164</v>
      </c>
      <c r="C268" s="297">
        <f t="shared" si="56"/>
        <v>24</v>
      </c>
      <c r="D268" s="297">
        <f t="shared" si="60"/>
        <v>6</v>
      </c>
      <c r="E268" s="297">
        <f t="shared" si="61"/>
        <v>17</v>
      </c>
      <c r="F268" s="298">
        <f t="shared" si="62"/>
        <v>0</v>
      </c>
      <c r="G268" s="298">
        <f t="shared" si="63"/>
        <v>1</v>
      </c>
      <c r="H268" s="298">
        <f t="shared" si="64"/>
        <v>17</v>
      </c>
      <c r="I268" s="298">
        <f t="shared" si="65"/>
        <v>0</v>
      </c>
      <c r="J268" s="298">
        <f t="shared" si="66"/>
        <v>17</v>
      </c>
      <c r="K268" s="299">
        <f t="shared" si="67"/>
        <v>96524</v>
      </c>
      <c r="R268" s="497">
        <f t="shared" si="57"/>
        <v>96524</v>
      </c>
      <c r="T268" s="302">
        <f t="shared" si="58"/>
        <v>96524</v>
      </c>
    </row>
    <row r="269" spans="2:20">
      <c r="B269" s="604">
        <f t="shared" si="59"/>
        <v>2165</v>
      </c>
      <c r="C269" s="297">
        <f t="shared" si="56"/>
        <v>24</v>
      </c>
      <c r="D269" s="297">
        <f t="shared" si="60"/>
        <v>6</v>
      </c>
      <c r="E269" s="297">
        <f t="shared" si="61"/>
        <v>18</v>
      </c>
      <c r="F269" s="298">
        <f t="shared" si="62"/>
        <v>1</v>
      </c>
      <c r="G269" s="298">
        <f t="shared" si="63"/>
        <v>2</v>
      </c>
      <c r="H269" s="298">
        <f t="shared" si="64"/>
        <v>6</v>
      </c>
      <c r="I269" s="298">
        <f t="shared" si="65"/>
        <v>3</v>
      </c>
      <c r="J269" s="298">
        <f t="shared" si="66"/>
        <v>9</v>
      </c>
      <c r="K269" s="299">
        <f t="shared" si="67"/>
        <v>96881</v>
      </c>
      <c r="R269" s="497">
        <f t="shared" si="57"/>
        <v>96881</v>
      </c>
      <c r="T269" s="302">
        <f t="shared" si="58"/>
        <v>96881</v>
      </c>
    </row>
    <row r="270" spans="2:20">
      <c r="B270" s="604">
        <f t="shared" si="59"/>
        <v>2166</v>
      </c>
      <c r="C270" s="297">
        <f t="shared" si="56"/>
        <v>24</v>
      </c>
      <c r="D270" s="297">
        <f t="shared" si="60"/>
        <v>6</v>
      </c>
      <c r="E270" s="297">
        <f t="shared" si="61"/>
        <v>0</v>
      </c>
      <c r="F270" s="298">
        <f t="shared" si="62"/>
        <v>2</v>
      </c>
      <c r="G270" s="298">
        <f t="shared" si="63"/>
        <v>3</v>
      </c>
      <c r="H270" s="298">
        <f t="shared" si="64"/>
        <v>24</v>
      </c>
      <c r="I270" s="298">
        <f t="shared" si="65"/>
        <v>5</v>
      </c>
      <c r="J270" s="298">
        <f t="shared" si="66"/>
        <v>29</v>
      </c>
      <c r="K270" s="299">
        <f t="shared" si="67"/>
        <v>97266</v>
      </c>
      <c r="R270" s="497">
        <f t="shared" si="57"/>
        <v>97266</v>
      </c>
      <c r="T270" s="302">
        <f t="shared" si="58"/>
        <v>97266</v>
      </c>
    </row>
    <row r="271" spans="2:20">
      <c r="B271" s="604">
        <f t="shared" si="59"/>
        <v>2167</v>
      </c>
      <c r="C271" s="297">
        <f t="shared" si="56"/>
        <v>24</v>
      </c>
      <c r="D271" s="297">
        <f t="shared" si="60"/>
        <v>6</v>
      </c>
      <c r="E271" s="297">
        <f t="shared" si="61"/>
        <v>1</v>
      </c>
      <c r="F271" s="298">
        <f t="shared" si="62"/>
        <v>3</v>
      </c>
      <c r="G271" s="298">
        <f t="shared" si="63"/>
        <v>4</v>
      </c>
      <c r="H271" s="298">
        <f t="shared" si="64"/>
        <v>13</v>
      </c>
      <c r="I271" s="298">
        <f t="shared" si="65"/>
        <v>1</v>
      </c>
      <c r="J271" s="298">
        <f t="shared" si="66"/>
        <v>14</v>
      </c>
      <c r="K271" s="299">
        <f t="shared" si="67"/>
        <v>97616</v>
      </c>
      <c r="R271" s="497">
        <f t="shared" si="57"/>
        <v>97616</v>
      </c>
      <c r="T271" s="302">
        <f t="shared" si="58"/>
        <v>97616</v>
      </c>
    </row>
    <row r="272" spans="2:20">
      <c r="B272" s="604">
        <f t="shared" si="59"/>
        <v>2168</v>
      </c>
      <c r="C272" s="297">
        <f t="shared" si="56"/>
        <v>24</v>
      </c>
      <c r="D272" s="297">
        <f t="shared" si="60"/>
        <v>6</v>
      </c>
      <c r="E272" s="297">
        <f t="shared" si="61"/>
        <v>2</v>
      </c>
      <c r="F272" s="298">
        <f t="shared" si="62"/>
        <v>0</v>
      </c>
      <c r="G272" s="298">
        <f t="shared" si="63"/>
        <v>5</v>
      </c>
      <c r="H272" s="298">
        <f t="shared" si="64"/>
        <v>2</v>
      </c>
      <c r="I272" s="298">
        <f t="shared" si="65"/>
        <v>3</v>
      </c>
      <c r="J272" s="298">
        <f t="shared" si="66"/>
        <v>5</v>
      </c>
      <c r="K272" s="299">
        <f t="shared" si="67"/>
        <v>97973</v>
      </c>
      <c r="R272" s="497">
        <f t="shared" si="57"/>
        <v>97973</v>
      </c>
      <c r="T272" s="302">
        <f t="shared" si="58"/>
        <v>97973</v>
      </c>
    </row>
    <row r="273" spans="2:20">
      <c r="B273" s="604">
        <f t="shared" si="59"/>
        <v>2169</v>
      </c>
      <c r="C273" s="297">
        <f t="shared" si="56"/>
        <v>24</v>
      </c>
      <c r="D273" s="297">
        <f t="shared" si="60"/>
        <v>6</v>
      </c>
      <c r="E273" s="297">
        <f t="shared" si="61"/>
        <v>3</v>
      </c>
      <c r="F273" s="298">
        <f t="shared" si="62"/>
        <v>1</v>
      </c>
      <c r="G273" s="298">
        <f t="shared" si="63"/>
        <v>6</v>
      </c>
      <c r="H273" s="298">
        <f t="shared" si="64"/>
        <v>21</v>
      </c>
      <c r="I273" s="298">
        <f t="shared" si="65"/>
        <v>4</v>
      </c>
      <c r="J273" s="298">
        <f t="shared" si="66"/>
        <v>25</v>
      </c>
      <c r="K273" s="299">
        <f t="shared" si="67"/>
        <v>98358</v>
      </c>
      <c r="R273" s="497">
        <f t="shared" si="57"/>
        <v>98358</v>
      </c>
      <c r="T273" s="302">
        <f t="shared" si="58"/>
        <v>98358</v>
      </c>
    </row>
    <row r="274" spans="2:20">
      <c r="B274" s="604">
        <f t="shared" si="59"/>
        <v>2170</v>
      </c>
      <c r="C274" s="297">
        <f t="shared" si="56"/>
        <v>24</v>
      </c>
      <c r="D274" s="297">
        <f t="shared" si="60"/>
        <v>6</v>
      </c>
      <c r="E274" s="297">
        <f t="shared" si="61"/>
        <v>4</v>
      </c>
      <c r="F274" s="298">
        <f t="shared" si="62"/>
        <v>2</v>
      </c>
      <c r="G274" s="298">
        <f t="shared" si="63"/>
        <v>0</v>
      </c>
      <c r="H274" s="298">
        <f t="shared" si="64"/>
        <v>10</v>
      </c>
      <c r="I274" s="298">
        <f t="shared" si="65"/>
        <v>0</v>
      </c>
      <c r="J274" s="298">
        <f t="shared" si="66"/>
        <v>10</v>
      </c>
      <c r="K274" s="299">
        <f t="shared" si="67"/>
        <v>98708</v>
      </c>
      <c r="R274" s="497">
        <f t="shared" si="57"/>
        <v>98708</v>
      </c>
      <c r="T274" s="302">
        <f t="shared" si="58"/>
        <v>98708</v>
      </c>
    </row>
    <row r="275" spans="2:20">
      <c r="B275" s="604">
        <f t="shared" si="59"/>
        <v>2171</v>
      </c>
      <c r="C275" s="297">
        <f t="shared" si="56"/>
        <v>24</v>
      </c>
      <c r="D275" s="297">
        <f t="shared" si="60"/>
        <v>6</v>
      </c>
      <c r="E275" s="297">
        <f t="shared" si="61"/>
        <v>5</v>
      </c>
      <c r="F275" s="298">
        <f t="shared" si="62"/>
        <v>3</v>
      </c>
      <c r="G275" s="298">
        <f t="shared" si="63"/>
        <v>1</v>
      </c>
      <c r="H275" s="298">
        <f t="shared" si="64"/>
        <v>29</v>
      </c>
      <c r="I275" s="298">
        <f t="shared" si="65"/>
        <v>1</v>
      </c>
      <c r="J275" s="298">
        <f t="shared" si="66"/>
        <v>30</v>
      </c>
      <c r="K275" s="299">
        <f t="shared" si="67"/>
        <v>99093</v>
      </c>
      <c r="R275" s="497">
        <f t="shared" si="57"/>
        <v>99093</v>
      </c>
      <c r="T275" s="302">
        <f t="shared" si="58"/>
        <v>99093</v>
      </c>
    </row>
    <row r="276" spans="2:20">
      <c r="B276" s="604">
        <f t="shared" si="59"/>
        <v>2172</v>
      </c>
      <c r="C276" s="297">
        <f t="shared" si="56"/>
        <v>24</v>
      </c>
      <c r="D276" s="297">
        <f t="shared" si="60"/>
        <v>6</v>
      </c>
      <c r="E276" s="297">
        <f t="shared" si="61"/>
        <v>6</v>
      </c>
      <c r="F276" s="298">
        <f t="shared" si="62"/>
        <v>0</v>
      </c>
      <c r="G276" s="298">
        <f t="shared" si="63"/>
        <v>2</v>
      </c>
      <c r="H276" s="298">
        <f t="shared" si="64"/>
        <v>18</v>
      </c>
      <c r="I276" s="298">
        <f t="shared" si="65"/>
        <v>3</v>
      </c>
      <c r="J276" s="298">
        <f t="shared" si="66"/>
        <v>21</v>
      </c>
      <c r="K276" s="299">
        <f t="shared" si="67"/>
        <v>99450</v>
      </c>
      <c r="R276" s="497">
        <f t="shared" si="57"/>
        <v>99450</v>
      </c>
      <c r="T276" s="302">
        <f t="shared" si="58"/>
        <v>99450</v>
      </c>
    </row>
    <row r="277" spans="2:20">
      <c r="B277" s="604">
        <f t="shared" si="59"/>
        <v>2173</v>
      </c>
      <c r="C277" s="297">
        <f t="shared" si="56"/>
        <v>24</v>
      </c>
      <c r="D277" s="297">
        <f t="shared" si="60"/>
        <v>6</v>
      </c>
      <c r="E277" s="297">
        <f t="shared" si="61"/>
        <v>7</v>
      </c>
      <c r="F277" s="298">
        <f t="shared" si="62"/>
        <v>1</v>
      </c>
      <c r="G277" s="298">
        <f t="shared" si="63"/>
        <v>3</v>
      </c>
      <c r="H277" s="298">
        <f t="shared" si="64"/>
        <v>7</v>
      </c>
      <c r="I277" s="298">
        <f t="shared" si="65"/>
        <v>6</v>
      </c>
      <c r="J277" s="298">
        <f t="shared" si="66"/>
        <v>13</v>
      </c>
      <c r="K277" s="299">
        <f t="shared" si="67"/>
        <v>99807</v>
      </c>
      <c r="R277" s="497">
        <f t="shared" si="57"/>
        <v>99807</v>
      </c>
      <c r="T277" s="302">
        <f t="shared" si="58"/>
        <v>99807</v>
      </c>
    </row>
    <row r="278" spans="2:20">
      <c r="B278" s="604">
        <f t="shared" si="59"/>
        <v>2174</v>
      </c>
      <c r="C278" s="297">
        <f t="shared" si="56"/>
        <v>24</v>
      </c>
      <c r="D278" s="297">
        <f t="shared" si="60"/>
        <v>6</v>
      </c>
      <c r="E278" s="297">
        <f t="shared" si="61"/>
        <v>8</v>
      </c>
      <c r="F278" s="298">
        <f t="shared" si="62"/>
        <v>2</v>
      </c>
      <c r="G278" s="298">
        <f t="shared" si="63"/>
        <v>4</v>
      </c>
      <c r="H278" s="298">
        <f t="shared" si="64"/>
        <v>26</v>
      </c>
      <c r="I278" s="298">
        <f t="shared" si="65"/>
        <v>0</v>
      </c>
      <c r="J278" s="298">
        <f t="shared" si="66"/>
        <v>26</v>
      </c>
      <c r="K278" s="299">
        <f t="shared" si="67"/>
        <v>100185</v>
      </c>
      <c r="R278" s="497">
        <f t="shared" si="57"/>
        <v>100185</v>
      </c>
      <c r="T278" s="302">
        <f t="shared" si="58"/>
        <v>100185</v>
      </c>
    </row>
    <row r="279" spans="2:20">
      <c r="B279" s="604">
        <f t="shared" si="59"/>
        <v>2175</v>
      </c>
      <c r="C279" s="297">
        <f t="shared" si="56"/>
        <v>24</v>
      </c>
      <c r="D279" s="297">
        <f t="shared" si="60"/>
        <v>6</v>
      </c>
      <c r="E279" s="297">
        <f t="shared" si="61"/>
        <v>9</v>
      </c>
      <c r="F279" s="298">
        <f t="shared" si="62"/>
        <v>3</v>
      </c>
      <c r="G279" s="298">
        <f t="shared" si="63"/>
        <v>5</v>
      </c>
      <c r="H279" s="298">
        <f t="shared" si="64"/>
        <v>15</v>
      </c>
      <c r="I279" s="298">
        <f t="shared" si="65"/>
        <v>3</v>
      </c>
      <c r="J279" s="298">
        <f t="shared" si="66"/>
        <v>18</v>
      </c>
      <c r="K279" s="299">
        <f t="shared" si="67"/>
        <v>100542</v>
      </c>
      <c r="R279" s="497">
        <f t="shared" si="57"/>
        <v>100542</v>
      </c>
      <c r="T279" s="302">
        <f t="shared" si="58"/>
        <v>100542</v>
      </c>
    </row>
    <row r="280" spans="2:20">
      <c r="B280" s="604">
        <f t="shared" si="59"/>
        <v>2176</v>
      </c>
      <c r="C280" s="297">
        <f t="shared" si="56"/>
        <v>24</v>
      </c>
      <c r="D280" s="297">
        <f t="shared" si="60"/>
        <v>6</v>
      </c>
      <c r="E280" s="297">
        <f t="shared" si="61"/>
        <v>10</v>
      </c>
      <c r="F280" s="298">
        <f t="shared" si="62"/>
        <v>0</v>
      </c>
      <c r="G280" s="298">
        <f t="shared" si="63"/>
        <v>6</v>
      </c>
      <c r="H280" s="298">
        <f t="shared" si="64"/>
        <v>4</v>
      </c>
      <c r="I280" s="298">
        <f t="shared" si="65"/>
        <v>5</v>
      </c>
      <c r="J280" s="298">
        <f t="shared" si="66"/>
        <v>9</v>
      </c>
      <c r="K280" s="299">
        <f t="shared" si="67"/>
        <v>100899</v>
      </c>
      <c r="R280" s="497">
        <f t="shared" si="57"/>
        <v>100899</v>
      </c>
      <c r="T280" s="302">
        <f t="shared" si="58"/>
        <v>100899</v>
      </c>
    </row>
    <row r="281" spans="2:20">
      <c r="B281" s="604">
        <f t="shared" si="59"/>
        <v>2177</v>
      </c>
      <c r="C281" s="297">
        <f t="shared" si="56"/>
        <v>24</v>
      </c>
      <c r="D281" s="297">
        <f t="shared" si="60"/>
        <v>6</v>
      </c>
      <c r="E281" s="297">
        <f t="shared" si="61"/>
        <v>11</v>
      </c>
      <c r="F281" s="298">
        <f t="shared" si="62"/>
        <v>1</v>
      </c>
      <c r="G281" s="298">
        <f t="shared" si="63"/>
        <v>0</v>
      </c>
      <c r="H281" s="298">
        <f t="shared" si="64"/>
        <v>23</v>
      </c>
      <c r="I281" s="298">
        <f t="shared" si="65"/>
        <v>6</v>
      </c>
      <c r="J281" s="298">
        <f t="shared" si="66"/>
        <v>29</v>
      </c>
      <c r="K281" s="299">
        <f t="shared" si="67"/>
        <v>101284</v>
      </c>
      <c r="R281" s="497">
        <f t="shared" si="57"/>
        <v>101284</v>
      </c>
      <c r="T281" s="302">
        <f t="shared" si="58"/>
        <v>101284</v>
      </c>
    </row>
    <row r="282" spans="2:20">
      <c r="B282" s="604">
        <f t="shared" si="59"/>
        <v>2178</v>
      </c>
      <c r="C282" s="297">
        <f t="shared" si="56"/>
        <v>24</v>
      </c>
      <c r="D282" s="297">
        <f t="shared" si="60"/>
        <v>6</v>
      </c>
      <c r="E282" s="297">
        <f t="shared" si="61"/>
        <v>12</v>
      </c>
      <c r="F282" s="298">
        <f t="shared" si="62"/>
        <v>2</v>
      </c>
      <c r="G282" s="298">
        <f t="shared" si="63"/>
        <v>1</v>
      </c>
      <c r="H282" s="298">
        <f t="shared" si="64"/>
        <v>12</v>
      </c>
      <c r="I282" s="298">
        <f t="shared" si="65"/>
        <v>2</v>
      </c>
      <c r="J282" s="298">
        <f t="shared" si="66"/>
        <v>14</v>
      </c>
      <c r="K282" s="299">
        <f t="shared" si="67"/>
        <v>101634</v>
      </c>
      <c r="R282" s="497">
        <f t="shared" si="57"/>
        <v>101634</v>
      </c>
      <c r="T282" s="302">
        <f t="shared" si="58"/>
        <v>101634</v>
      </c>
    </row>
    <row r="283" spans="2:20">
      <c r="B283" s="604">
        <f t="shared" si="59"/>
        <v>2179</v>
      </c>
      <c r="C283" s="297">
        <f t="shared" si="56"/>
        <v>24</v>
      </c>
      <c r="D283" s="297">
        <f t="shared" si="60"/>
        <v>6</v>
      </c>
      <c r="E283" s="297">
        <f t="shared" si="61"/>
        <v>13</v>
      </c>
      <c r="F283" s="298">
        <f t="shared" si="62"/>
        <v>3</v>
      </c>
      <c r="G283" s="298">
        <f t="shared" si="63"/>
        <v>2</v>
      </c>
      <c r="H283" s="298">
        <f t="shared" si="64"/>
        <v>1</v>
      </c>
      <c r="I283" s="298">
        <f t="shared" si="65"/>
        <v>5</v>
      </c>
      <c r="J283" s="298">
        <f t="shared" si="66"/>
        <v>6</v>
      </c>
      <c r="K283" s="299">
        <f t="shared" si="67"/>
        <v>101991</v>
      </c>
      <c r="R283" s="497">
        <f t="shared" si="57"/>
        <v>101991</v>
      </c>
      <c r="T283" s="302">
        <f t="shared" si="58"/>
        <v>101991</v>
      </c>
    </row>
    <row r="284" spans="2:20">
      <c r="B284" s="604">
        <f t="shared" si="59"/>
        <v>2180</v>
      </c>
      <c r="C284" s="297">
        <f t="shared" si="56"/>
        <v>24</v>
      </c>
      <c r="D284" s="297">
        <f t="shared" si="60"/>
        <v>6</v>
      </c>
      <c r="E284" s="297">
        <f t="shared" si="61"/>
        <v>14</v>
      </c>
      <c r="F284" s="298">
        <f t="shared" si="62"/>
        <v>0</v>
      </c>
      <c r="G284" s="298">
        <f t="shared" si="63"/>
        <v>3</v>
      </c>
      <c r="H284" s="298">
        <f t="shared" si="64"/>
        <v>20</v>
      </c>
      <c r="I284" s="298">
        <f t="shared" si="65"/>
        <v>5</v>
      </c>
      <c r="J284" s="298">
        <f t="shared" si="66"/>
        <v>25</v>
      </c>
      <c r="K284" s="299">
        <f t="shared" si="67"/>
        <v>102376</v>
      </c>
      <c r="R284" s="497">
        <f t="shared" si="57"/>
        <v>102376</v>
      </c>
      <c r="T284" s="302">
        <f t="shared" si="58"/>
        <v>102376</v>
      </c>
    </row>
    <row r="285" spans="2:20">
      <c r="B285" s="604">
        <f t="shared" si="59"/>
        <v>2181</v>
      </c>
      <c r="C285" s="297">
        <f t="shared" si="56"/>
        <v>24</v>
      </c>
      <c r="D285" s="297">
        <f t="shared" si="60"/>
        <v>6</v>
      </c>
      <c r="E285" s="297">
        <f t="shared" si="61"/>
        <v>15</v>
      </c>
      <c r="F285" s="298">
        <f t="shared" si="62"/>
        <v>1</v>
      </c>
      <c r="G285" s="298">
        <f t="shared" si="63"/>
        <v>4</v>
      </c>
      <c r="H285" s="298">
        <f t="shared" si="64"/>
        <v>9</v>
      </c>
      <c r="I285" s="298">
        <f t="shared" si="65"/>
        <v>1</v>
      </c>
      <c r="J285" s="298">
        <f t="shared" si="66"/>
        <v>10</v>
      </c>
      <c r="K285" s="299">
        <f t="shared" si="67"/>
        <v>102726</v>
      </c>
      <c r="R285" s="497">
        <f t="shared" si="57"/>
        <v>102726</v>
      </c>
      <c r="T285" s="302">
        <f t="shared" si="58"/>
        <v>102726</v>
      </c>
    </row>
    <row r="286" spans="2:20">
      <c r="B286" s="604">
        <f t="shared" si="59"/>
        <v>2182</v>
      </c>
      <c r="C286" s="297">
        <f t="shared" si="56"/>
        <v>24</v>
      </c>
      <c r="D286" s="297">
        <f t="shared" si="60"/>
        <v>6</v>
      </c>
      <c r="E286" s="297">
        <f t="shared" si="61"/>
        <v>16</v>
      </c>
      <c r="F286" s="298">
        <f t="shared" si="62"/>
        <v>2</v>
      </c>
      <c r="G286" s="298">
        <f t="shared" si="63"/>
        <v>5</v>
      </c>
      <c r="H286" s="298">
        <f t="shared" si="64"/>
        <v>28</v>
      </c>
      <c r="I286" s="298">
        <f t="shared" si="65"/>
        <v>2</v>
      </c>
      <c r="J286" s="298">
        <f t="shared" si="66"/>
        <v>30</v>
      </c>
      <c r="K286" s="299">
        <f t="shared" si="67"/>
        <v>103111</v>
      </c>
      <c r="R286" s="497">
        <f t="shared" si="57"/>
        <v>103111</v>
      </c>
      <c r="T286" s="302">
        <f t="shared" si="58"/>
        <v>103111</v>
      </c>
    </row>
    <row r="287" spans="2:20">
      <c r="B287" s="604">
        <f t="shared" si="59"/>
        <v>2183</v>
      </c>
      <c r="C287" s="297">
        <f t="shared" si="56"/>
        <v>24</v>
      </c>
      <c r="D287" s="297">
        <f t="shared" si="60"/>
        <v>6</v>
      </c>
      <c r="E287" s="297">
        <f t="shared" si="61"/>
        <v>17</v>
      </c>
      <c r="F287" s="298">
        <f t="shared" si="62"/>
        <v>3</v>
      </c>
      <c r="G287" s="298">
        <f t="shared" si="63"/>
        <v>6</v>
      </c>
      <c r="H287" s="298">
        <f t="shared" si="64"/>
        <v>17</v>
      </c>
      <c r="I287" s="298">
        <f t="shared" si="65"/>
        <v>5</v>
      </c>
      <c r="J287" s="298">
        <f t="shared" si="66"/>
        <v>22</v>
      </c>
      <c r="K287" s="299">
        <f t="shared" si="67"/>
        <v>103468</v>
      </c>
      <c r="R287" s="497">
        <f t="shared" si="57"/>
        <v>103468</v>
      </c>
      <c r="T287" s="302">
        <f t="shared" si="58"/>
        <v>103468</v>
      </c>
    </row>
    <row r="288" spans="2:20">
      <c r="B288" s="604">
        <f t="shared" si="59"/>
        <v>2184</v>
      </c>
      <c r="C288" s="297">
        <f t="shared" si="56"/>
        <v>24</v>
      </c>
      <c r="D288" s="297">
        <f t="shared" si="60"/>
        <v>6</v>
      </c>
      <c r="E288" s="297">
        <f t="shared" si="61"/>
        <v>18</v>
      </c>
      <c r="F288" s="298">
        <f t="shared" si="62"/>
        <v>0</v>
      </c>
      <c r="G288" s="298">
        <f t="shared" si="63"/>
        <v>0</v>
      </c>
      <c r="H288" s="298">
        <f t="shared" si="64"/>
        <v>6</v>
      </c>
      <c r="I288" s="298">
        <f t="shared" si="65"/>
        <v>0</v>
      </c>
      <c r="J288" s="298">
        <f t="shared" si="66"/>
        <v>6</v>
      </c>
      <c r="K288" s="299">
        <f t="shared" si="67"/>
        <v>103818</v>
      </c>
      <c r="R288" s="497">
        <f t="shared" si="57"/>
        <v>103818</v>
      </c>
      <c r="T288" s="302">
        <f t="shared" si="58"/>
        <v>103818</v>
      </c>
    </row>
    <row r="289" spans="2:20">
      <c r="B289" s="604">
        <f t="shared" si="59"/>
        <v>2185</v>
      </c>
      <c r="C289" s="297">
        <f t="shared" si="56"/>
        <v>24</v>
      </c>
      <c r="D289" s="297">
        <f t="shared" si="60"/>
        <v>6</v>
      </c>
      <c r="E289" s="297">
        <f t="shared" si="61"/>
        <v>0</v>
      </c>
      <c r="F289" s="298">
        <f t="shared" si="62"/>
        <v>1</v>
      </c>
      <c r="G289" s="298">
        <f t="shared" si="63"/>
        <v>1</v>
      </c>
      <c r="H289" s="298">
        <f t="shared" si="64"/>
        <v>24</v>
      </c>
      <c r="I289" s="298">
        <f t="shared" si="65"/>
        <v>2</v>
      </c>
      <c r="J289" s="298">
        <f t="shared" si="66"/>
        <v>26</v>
      </c>
      <c r="K289" s="299">
        <f t="shared" si="67"/>
        <v>104203</v>
      </c>
      <c r="R289" s="497">
        <f t="shared" si="57"/>
        <v>104203</v>
      </c>
      <c r="T289" s="302">
        <f t="shared" si="58"/>
        <v>104203</v>
      </c>
    </row>
    <row r="290" spans="2:20">
      <c r="B290" s="604">
        <f t="shared" si="59"/>
        <v>2186</v>
      </c>
      <c r="C290" s="297">
        <f t="shared" si="56"/>
        <v>24</v>
      </c>
      <c r="D290" s="297">
        <f t="shared" si="60"/>
        <v>6</v>
      </c>
      <c r="E290" s="297">
        <f t="shared" si="61"/>
        <v>1</v>
      </c>
      <c r="F290" s="298">
        <f t="shared" si="62"/>
        <v>2</v>
      </c>
      <c r="G290" s="298">
        <f t="shared" si="63"/>
        <v>2</v>
      </c>
      <c r="H290" s="298">
        <f t="shared" si="64"/>
        <v>13</v>
      </c>
      <c r="I290" s="298">
        <f t="shared" si="65"/>
        <v>5</v>
      </c>
      <c r="J290" s="298">
        <f t="shared" si="66"/>
        <v>18</v>
      </c>
      <c r="K290" s="299">
        <f t="shared" si="67"/>
        <v>104560</v>
      </c>
      <c r="R290" s="497">
        <f t="shared" si="57"/>
        <v>104560</v>
      </c>
      <c r="T290" s="302">
        <f t="shared" si="58"/>
        <v>104560</v>
      </c>
    </row>
    <row r="291" spans="2:20">
      <c r="B291" s="604">
        <f t="shared" si="59"/>
        <v>2187</v>
      </c>
      <c r="C291" s="297">
        <f t="shared" si="56"/>
        <v>24</v>
      </c>
      <c r="D291" s="297">
        <f t="shared" si="60"/>
        <v>6</v>
      </c>
      <c r="E291" s="297">
        <f t="shared" si="61"/>
        <v>2</v>
      </c>
      <c r="F291" s="298">
        <f t="shared" si="62"/>
        <v>3</v>
      </c>
      <c r="G291" s="298">
        <f t="shared" si="63"/>
        <v>3</v>
      </c>
      <c r="H291" s="298">
        <f t="shared" si="64"/>
        <v>2</v>
      </c>
      <c r="I291" s="298">
        <f t="shared" si="65"/>
        <v>1</v>
      </c>
      <c r="J291" s="298">
        <f t="shared" si="66"/>
        <v>3</v>
      </c>
      <c r="K291" s="299">
        <f t="shared" si="67"/>
        <v>104910</v>
      </c>
      <c r="R291" s="497">
        <f t="shared" si="57"/>
        <v>104910</v>
      </c>
      <c r="T291" s="302">
        <f t="shared" si="58"/>
        <v>104910</v>
      </c>
    </row>
    <row r="292" spans="2:20">
      <c r="B292" s="604">
        <f t="shared" si="59"/>
        <v>2188</v>
      </c>
      <c r="C292" s="297">
        <f t="shared" si="56"/>
        <v>24</v>
      </c>
      <c r="D292" s="297">
        <f t="shared" si="60"/>
        <v>6</v>
      </c>
      <c r="E292" s="297">
        <f t="shared" si="61"/>
        <v>3</v>
      </c>
      <c r="F292" s="298">
        <f t="shared" si="62"/>
        <v>0</v>
      </c>
      <c r="G292" s="298">
        <f t="shared" si="63"/>
        <v>4</v>
      </c>
      <c r="H292" s="298">
        <f t="shared" si="64"/>
        <v>21</v>
      </c>
      <c r="I292" s="298">
        <f t="shared" si="65"/>
        <v>1</v>
      </c>
      <c r="J292" s="298">
        <f t="shared" si="66"/>
        <v>22</v>
      </c>
      <c r="K292" s="299">
        <f t="shared" si="67"/>
        <v>105295</v>
      </c>
      <c r="R292" s="497">
        <f t="shared" si="57"/>
        <v>105295</v>
      </c>
      <c r="T292" s="302">
        <f t="shared" si="58"/>
        <v>105295</v>
      </c>
    </row>
    <row r="293" spans="2:20">
      <c r="B293" s="604">
        <f t="shared" si="59"/>
        <v>2189</v>
      </c>
      <c r="C293" s="297">
        <f t="shared" si="56"/>
        <v>24</v>
      </c>
      <c r="D293" s="297">
        <f t="shared" si="60"/>
        <v>6</v>
      </c>
      <c r="E293" s="297">
        <f t="shared" si="61"/>
        <v>4</v>
      </c>
      <c r="F293" s="298">
        <f t="shared" si="62"/>
        <v>1</v>
      </c>
      <c r="G293" s="298">
        <f t="shared" si="63"/>
        <v>5</v>
      </c>
      <c r="H293" s="298">
        <f t="shared" si="64"/>
        <v>10</v>
      </c>
      <c r="I293" s="298">
        <f t="shared" si="65"/>
        <v>4</v>
      </c>
      <c r="J293" s="298">
        <f t="shared" si="66"/>
        <v>14</v>
      </c>
      <c r="K293" s="299">
        <f t="shared" si="67"/>
        <v>105652</v>
      </c>
      <c r="R293" s="497">
        <f t="shared" si="57"/>
        <v>105652</v>
      </c>
      <c r="T293" s="302">
        <f t="shared" si="58"/>
        <v>105652</v>
      </c>
    </row>
    <row r="294" spans="2:20">
      <c r="B294" s="604">
        <f t="shared" si="59"/>
        <v>2190</v>
      </c>
      <c r="C294" s="297">
        <f t="shared" si="56"/>
        <v>24</v>
      </c>
      <c r="D294" s="297">
        <f t="shared" si="60"/>
        <v>6</v>
      </c>
      <c r="E294" s="297">
        <f t="shared" si="61"/>
        <v>5</v>
      </c>
      <c r="F294" s="298">
        <f t="shared" si="62"/>
        <v>2</v>
      </c>
      <c r="G294" s="298">
        <f t="shared" si="63"/>
        <v>6</v>
      </c>
      <c r="H294" s="298">
        <f t="shared" si="64"/>
        <v>29</v>
      </c>
      <c r="I294" s="298">
        <f t="shared" si="65"/>
        <v>5</v>
      </c>
      <c r="J294" s="298">
        <f t="shared" si="66"/>
        <v>34</v>
      </c>
      <c r="K294" s="299">
        <f t="shared" si="67"/>
        <v>106037</v>
      </c>
      <c r="R294" s="497">
        <f t="shared" si="57"/>
        <v>106037</v>
      </c>
      <c r="T294" s="302">
        <f t="shared" si="58"/>
        <v>106037</v>
      </c>
    </row>
    <row r="295" spans="2:20">
      <c r="B295" s="604">
        <f t="shared" si="59"/>
        <v>2191</v>
      </c>
      <c r="C295" s="297">
        <f t="shared" si="56"/>
        <v>24</v>
      </c>
      <c r="D295" s="297">
        <f t="shared" si="60"/>
        <v>6</v>
      </c>
      <c r="E295" s="297">
        <f t="shared" si="61"/>
        <v>6</v>
      </c>
      <c r="F295" s="298">
        <f t="shared" si="62"/>
        <v>3</v>
      </c>
      <c r="G295" s="298">
        <f t="shared" si="63"/>
        <v>0</v>
      </c>
      <c r="H295" s="298">
        <f t="shared" si="64"/>
        <v>18</v>
      </c>
      <c r="I295" s="298">
        <f t="shared" si="65"/>
        <v>1</v>
      </c>
      <c r="J295" s="298">
        <f t="shared" si="66"/>
        <v>19</v>
      </c>
      <c r="K295" s="299">
        <f t="shared" si="67"/>
        <v>106387</v>
      </c>
      <c r="R295" s="497">
        <f t="shared" si="57"/>
        <v>106387</v>
      </c>
      <c r="T295" s="302">
        <f t="shared" si="58"/>
        <v>106387</v>
      </c>
    </row>
    <row r="296" spans="2:20">
      <c r="B296" s="604">
        <f t="shared" si="59"/>
        <v>2192</v>
      </c>
      <c r="C296" s="297">
        <f t="shared" si="56"/>
        <v>24</v>
      </c>
      <c r="D296" s="297">
        <f t="shared" si="60"/>
        <v>6</v>
      </c>
      <c r="E296" s="297">
        <f t="shared" si="61"/>
        <v>7</v>
      </c>
      <c r="F296" s="298">
        <f t="shared" si="62"/>
        <v>0</v>
      </c>
      <c r="G296" s="298">
        <f t="shared" si="63"/>
        <v>1</v>
      </c>
      <c r="H296" s="298">
        <f t="shared" si="64"/>
        <v>7</v>
      </c>
      <c r="I296" s="298">
        <f t="shared" si="65"/>
        <v>3</v>
      </c>
      <c r="J296" s="298">
        <f t="shared" si="66"/>
        <v>10</v>
      </c>
      <c r="K296" s="299">
        <f t="shared" si="67"/>
        <v>106744</v>
      </c>
      <c r="R296" s="497">
        <f t="shared" si="57"/>
        <v>106744</v>
      </c>
      <c r="T296" s="302">
        <f t="shared" si="58"/>
        <v>106744</v>
      </c>
    </row>
    <row r="297" spans="2:20">
      <c r="B297" s="604">
        <f t="shared" si="59"/>
        <v>2193</v>
      </c>
      <c r="C297" s="297">
        <f t="shared" si="56"/>
        <v>24</v>
      </c>
      <c r="D297" s="297">
        <f t="shared" si="60"/>
        <v>6</v>
      </c>
      <c r="E297" s="297">
        <f t="shared" si="61"/>
        <v>8</v>
      </c>
      <c r="F297" s="298">
        <f t="shared" si="62"/>
        <v>1</v>
      </c>
      <c r="G297" s="298">
        <f t="shared" si="63"/>
        <v>2</v>
      </c>
      <c r="H297" s="298">
        <f t="shared" si="64"/>
        <v>26</v>
      </c>
      <c r="I297" s="298">
        <f t="shared" si="65"/>
        <v>4</v>
      </c>
      <c r="J297" s="298">
        <f t="shared" si="66"/>
        <v>30</v>
      </c>
      <c r="K297" s="299">
        <f t="shared" si="67"/>
        <v>107129</v>
      </c>
      <c r="R297" s="497">
        <f t="shared" si="57"/>
        <v>107129</v>
      </c>
      <c r="T297" s="302">
        <f t="shared" si="58"/>
        <v>107129</v>
      </c>
    </row>
    <row r="298" spans="2:20">
      <c r="B298" s="604">
        <f t="shared" si="59"/>
        <v>2194</v>
      </c>
      <c r="C298" s="297">
        <f t="shared" si="56"/>
        <v>24</v>
      </c>
      <c r="D298" s="297">
        <f t="shared" si="60"/>
        <v>6</v>
      </c>
      <c r="E298" s="297">
        <f t="shared" si="61"/>
        <v>9</v>
      </c>
      <c r="F298" s="298">
        <f t="shared" si="62"/>
        <v>2</v>
      </c>
      <c r="G298" s="298">
        <f t="shared" si="63"/>
        <v>3</v>
      </c>
      <c r="H298" s="298">
        <f t="shared" si="64"/>
        <v>15</v>
      </c>
      <c r="I298" s="298">
        <f t="shared" si="65"/>
        <v>0</v>
      </c>
      <c r="J298" s="298">
        <f t="shared" si="66"/>
        <v>15</v>
      </c>
      <c r="K298" s="299">
        <f t="shared" si="67"/>
        <v>107479</v>
      </c>
      <c r="R298" s="497">
        <f t="shared" si="57"/>
        <v>107479</v>
      </c>
      <c r="T298" s="302">
        <f t="shared" si="58"/>
        <v>107479</v>
      </c>
    </row>
    <row r="299" spans="2:20">
      <c r="B299" s="604">
        <f t="shared" si="59"/>
        <v>2195</v>
      </c>
      <c r="C299" s="297">
        <f t="shared" si="56"/>
        <v>24</v>
      </c>
      <c r="D299" s="297">
        <f t="shared" si="60"/>
        <v>6</v>
      </c>
      <c r="E299" s="297">
        <f t="shared" si="61"/>
        <v>10</v>
      </c>
      <c r="F299" s="298">
        <f t="shared" si="62"/>
        <v>3</v>
      </c>
      <c r="G299" s="298">
        <f t="shared" si="63"/>
        <v>4</v>
      </c>
      <c r="H299" s="298">
        <f t="shared" si="64"/>
        <v>4</v>
      </c>
      <c r="I299" s="298">
        <f t="shared" si="65"/>
        <v>3</v>
      </c>
      <c r="J299" s="298">
        <f t="shared" si="66"/>
        <v>7</v>
      </c>
      <c r="K299" s="299">
        <f t="shared" si="67"/>
        <v>107836</v>
      </c>
      <c r="R299" s="497">
        <f t="shared" si="57"/>
        <v>107836</v>
      </c>
      <c r="T299" s="302">
        <f t="shared" si="58"/>
        <v>107836</v>
      </c>
    </row>
    <row r="300" spans="2:20">
      <c r="B300" s="604">
        <f t="shared" si="59"/>
        <v>2196</v>
      </c>
      <c r="C300" s="297">
        <f t="shared" si="56"/>
        <v>24</v>
      </c>
      <c r="D300" s="297">
        <f t="shared" si="60"/>
        <v>6</v>
      </c>
      <c r="E300" s="297">
        <f t="shared" si="61"/>
        <v>11</v>
      </c>
      <c r="F300" s="298">
        <f t="shared" si="62"/>
        <v>0</v>
      </c>
      <c r="G300" s="298">
        <f t="shared" si="63"/>
        <v>5</v>
      </c>
      <c r="H300" s="298">
        <f t="shared" si="64"/>
        <v>23</v>
      </c>
      <c r="I300" s="298">
        <f t="shared" si="65"/>
        <v>3</v>
      </c>
      <c r="J300" s="298">
        <f t="shared" si="66"/>
        <v>26</v>
      </c>
      <c r="K300" s="299">
        <f t="shared" si="67"/>
        <v>108221</v>
      </c>
      <c r="R300" s="497">
        <f t="shared" si="57"/>
        <v>108221</v>
      </c>
      <c r="T300" s="302">
        <f t="shared" si="58"/>
        <v>108221</v>
      </c>
    </row>
    <row r="301" spans="2:20">
      <c r="B301" s="604">
        <f t="shared" si="59"/>
        <v>2197</v>
      </c>
      <c r="C301" s="297">
        <f t="shared" si="56"/>
        <v>24</v>
      </c>
      <c r="D301" s="297">
        <f t="shared" si="60"/>
        <v>6</v>
      </c>
      <c r="E301" s="297">
        <f t="shared" si="61"/>
        <v>12</v>
      </c>
      <c r="F301" s="298">
        <f t="shared" si="62"/>
        <v>1</v>
      </c>
      <c r="G301" s="298">
        <f t="shared" si="63"/>
        <v>6</v>
      </c>
      <c r="H301" s="298">
        <f t="shared" si="64"/>
        <v>12</v>
      </c>
      <c r="I301" s="298">
        <f t="shared" si="65"/>
        <v>6</v>
      </c>
      <c r="J301" s="298">
        <f t="shared" si="66"/>
        <v>18</v>
      </c>
      <c r="K301" s="299">
        <f t="shared" si="67"/>
        <v>108578</v>
      </c>
      <c r="R301" s="497">
        <f t="shared" si="57"/>
        <v>108578</v>
      </c>
      <c r="T301" s="302">
        <f t="shared" si="58"/>
        <v>108578</v>
      </c>
    </row>
    <row r="302" spans="2:20">
      <c r="B302" s="604">
        <f t="shared" si="59"/>
        <v>2198</v>
      </c>
      <c r="C302" s="297">
        <f t="shared" si="56"/>
        <v>24</v>
      </c>
      <c r="D302" s="297">
        <f t="shared" si="60"/>
        <v>6</v>
      </c>
      <c r="E302" s="297">
        <f t="shared" si="61"/>
        <v>13</v>
      </c>
      <c r="F302" s="298">
        <f t="shared" si="62"/>
        <v>2</v>
      </c>
      <c r="G302" s="298">
        <f t="shared" si="63"/>
        <v>0</v>
      </c>
      <c r="H302" s="298">
        <f t="shared" si="64"/>
        <v>1</v>
      </c>
      <c r="I302" s="298">
        <f t="shared" si="65"/>
        <v>2</v>
      </c>
      <c r="J302" s="298">
        <f t="shared" si="66"/>
        <v>3</v>
      </c>
      <c r="K302" s="299">
        <f t="shared" si="67"/>
        <v>108928</v>
      </c>
      <c r="R302" s="497">
        <f t="shared" si="57"/>
        <v>108928</v>
      </c>
      <c r="T302" s="302">
        <f t="shared" si="58"/>
        <v>108928</v>
      </c>
    </row>
    <row r="303" spans="2:20">
      <c r="B303" s="604">
        <f t="shared" si="59"/>
        <v>2199</v>
      </c>
      <c r="C303" s="297">
        <f t="shared" si="56"/>
        <v>24</v>
      </c>
      <c r="D303" s="297">
        <f t="shared" si="60"/>
        <v>6</v>
      </c>
      <c r="E303" s="297">
        <f t="shared" si="61"/>
        <v>14</v>
      </c>
      <c r="F303" s="298">
        <f t="shared" si="62"/>
        <v>3</v>
      </c>
      <c r="G303" s="298">
        <f t="shared" si="63"/>
        <v>1</v>
      </c>
      <c r="H303" s="298">
        <f t="shared" si="64"/>
        <v>20</v>
      </c>
      <c r="I303" s="298">
        <f t="shared" si="65"/>
        <v>3</v>
      </c>
      <c r="J303" s="298">
        <f t="shared" si="66"/>
        <v>23</v>
      </c>
      <c r="K303" s="299">
        <f t="shared" si="67"/>
        <v>109313</v>
      </c>
      <c r="R303" s="497">
        <f t="shared" si="57"/>
        <v>109313</v>
      </c>
      <c r="T303" s="302">
        <f t="shared" si="58"/>
        <v>109313</v>
      </c>
    </row>
    <row r="304" spans="2:20">
      <c r="B304" s="604">
        <f t="shared" si="59"/>
        <v>2200</v>
      </c>
      <c r="C304" s="297">
        <f t="shared" si="56"/>
        <v>25</v>
      </c>
      <c r="D304" s="297">
        <f t="shared" si="60"/>
        <v>0</v>
      </c>
      <c r="E304" s="297">
        <f t="shared" si="61"/>
        <v>15</v>
      </c>
      <c r="F304" s="298">
        <f t="shared" si="62"/>
        <v>0</v>
      </c>
      <c r="G304" s="298">
        <f t="shared" si="63"/>
        <v>2</v>
      </c>
      <c r="H304" s="298">
        <f t="shared" si="64"/>
        <v>10</v>
      </c>
      <c r="I304" s="298">
        <f t="shared" si="65"/>
        <v>5</v>
      </c>
      <c r="J304" s="298">
        <f t="shared" si="66"/>
        <v>15</v>
      </c>
      <c r="K304" s="299">
        <f t="shared" si="67"/>
        <v>109670</v>
      </c>
      <c r="R304" s="497">
        <f t="shared" si="57"/>
        <v>109670</v>
      </c>
      <c r="T304" s="302">
        <f t="shared" si="58"/>
        <v>109670</v>
      </c>
    </row>
    <row r="305" spans="2:20">
      <c r="B305" s="604">
        <f t="shared" si="59"/>
        <v>2201</v>
      </c>
      <c r="C305" s="297">
        <f t="shared" si="56"/>
        <v>25</v>
      </c>
      <c r="D305" s="297">
        <f t="shared" si="60"/>
        <v>0</v>
      </c>
      <c r="E305" s="297">
        <f t="shared" si="61"/>
        <v>16</v>
      </c>
      <c r="F305" s="298">
        <f t="shared" si="62"/>
        <v>1</v>
      </c>
      <c r="G305" s="298">
        <f t="shared" si="63"/>
        <v>3</v>
      </c>
      <c r="H305" s="298">
        <f t="shared" si="64"/>
        <v>29</v>
      </c>
      <c r="I305" s="298">
        <f t="shared" si="65"/>
        <v>6</v>
      </c>
      <c r="J305" s="298">
        <f t="shared" si="66"/>
        <v>35</v>
      </c>
      <c r="K305" s="299">
        <f t="shared" si="67"/>
        <v>110048</v>
      </c>
      <c r="R305" s="497">
        <f t="shared" si="57"/>
        <v>110055</v>
      </c>
      <c r="T305" s="302">
        <f t="shared" si="58"/>
        <v>110048</v>
      </c>
    </row>
    <row r="306" spans="2:20">
      <c r="B306" s="604">
        <f t="shared" si="59"/>
        <v>2202</v>
      </c>
      <c r="C306" s="297">
        <f t="shared" si="56"/>
        <v>25</v>
      </c>
      <c r="D306" s="297">
        <f t="shared" si="60"/>
        <v>0</v>
      </c>
      <c r="E306" s="297">
        <f t="shared" si="61"/>
        <v>17</v>
      </c>
      <c r="F306" s="298">
        <f t="shared" si="62"/>
        <v>2</v>
      </c>
      <c r="G306" s="298">
        <f t="shared" si="63"/>
        <v>4</v>
      </c>
      <c r="H306" s="298">
        <f t="shared" si="64"/>
        <v>18</v>
      </c>
      <c r="I306" s="298">
        <f t="shared" si="65"/>
        <v>2</v>
      </c>
      <c r="J306" s="298">
        <f t="shared" si="66"/>
        <v>20</v>
      </c>
      <c r="K306" s="299">
        <f t="shared" si="67"/>
        <v>110405</v>
      </c>
      <c r="R306" s="497">
        <f t="shared" si="57"/>
        <v>110405</v>
      </c>
      <c r="T306" s="302">
        <f t="shared" si="58"/>
        <v>110405</v>
      </c>
    </row>
    <row r="307" spans="2:20">
      <c r="B307" s="604">
        <f t="shared" si="59"/>
        <v>2203</v>
      </c>
      <c r="C307" s="297">
        <f t="shared" si="56"/>
        <v>25</v>
      </c>
      <c r="D307" s="297">
        <f t="shared" si="60"/>
        <v>0</v>
      </c>
      <c r="E307" s="297">
        <f t="shared" si="61"/>
        <v>18</v>
      </c>
      <c r="F307" s="298">
        <f t="shared" si="62"/>
        <v>3</v>
      </c>
      <c r="G307" s="298">
        <f t="shared" si="63"/>
        <v>5</v>
      </c>
      <c r="H307" s="298">
        <f t="shared" si="64"/>
        <v>7</v>
      </c>
      <c r="I307" s="298">
        <f t="shared" si="65"/>
        <v>5</v>
      </c>
      <c r="J307" s="298">
        <f t="shared" si="66"/>
        <v>12</v>
      </c>
      <c r="K307" s="299">
        <f t="shared" si="67"/>
        <v>110762</v>
      </c>
      <c r="R307" s="497">
        <f t="shared" si="57"/>
        <v>110762</v>
      </c>
      <c r="T307" s="302">
        <f t="shared" si="58"/>
        <v>110762</v>
      </c>
    </row>
    <row r="308" spans="2:20">
      <c r="B308" s="604">
        <f t="shared" si="59"/>
        <v>2204</v>
      </c>
      <c r="C308" s="297">
        <f t="shared" si="56"/>
        <v>25</v>
      </c>
      <c r="D308" s="297">
        <f t="shared" si="60"/>
        <v>0</v>
      </c>
      <c r="E308" s="297">
        <f t="shared" si="61"/>
        <v>0</v>
      </c>
      <c r="F308" s="298">
        <f t="shared" si="62"/>
        <v>0</v>
      </c>
      <c r="G308" s="298">
        <f t="shared" si="63"/>
        <v>6</v>
      </c>
      <c r="H308" s="298">
        <f t="shared" si="64"/>
        <v>25</v>
      </c>
      <c r="I308" s="298">
        <f t="shared" si="65"/>
        <v>6</v>
      </c>
      <c r="J308" s="298">
        <f t="shared" si="66"/>
        <v>31</v>
      </c>
      <c r="K308" s="299">
        <f t="shared" si="67"/>
        <v>111147</v>
      </c>
      <c r="R308" s="497">
        <f t="shared" si="57"/>
        <v>111147</v>
      </c>
      <c r="T308" s="302">
        <f t="shared" si="58"/>
        <v>111140</v>
      </c>
    </row>
    <row r="309" spans="2:20">
      <c r="B309" s="604">
        <f t="shared" si="59"/>
        <v>2205</v>
      </c>
      <c r="C309" s="297">
        <f t="shared" si="56"/>
        <v>25</v>
      </c>
      <c r="D309" s="297">
        <f t="shared" si="60"/>
        <v>0</v>
      </c>
      <c r="E309" s="297">
        <f t="shared" si="61"/>
        <v>1</v>
      </c>
      <c r="F309" s="298">
        <f t="shared" si="62"/>
        <v>1</v>
      </c>
      <c r="G309" s="298">
        <f t="shared" si="63"/>
        <v>0</v>
      </c>
      <c r="H309" s="298">
        <f t="shared" si="64"/>
        <v>14</v>
      </c>
      <c r="I309" s="298">
        <f t="shared" si="65"/>
        <v>2</v>
      </c>
      <c r="J309" s="298">
        <f t="shared" si="66"/>
        <v>16</v>
      </c>
      <c r="K309" s="299">
        <f t="shared" si="67"/>
        <v>111497</v>
      </c>
      <c r="R309" s="497">
        <f t="shared" si="57"/>
        <v>111497</v>
      </c>
      <c r="T309" s="302">
        <f t="shared" si="58"/>
        <v>111497</v>
      </c>
    </row>
    <row r="310" spans="2:20">
      <c r="B310" s="604">
        <f t="shared" si="59"/>
        <v>2206</v>
      </c>
      <c r="C310" s="297">
        <f t="shared" si="56"/>
        <v>25</v>
      </c>
      <c r="D310" s="297">
        <f t="shared" si="60"/>
        <v>0</v>
      </c>
      <c r="E310" s="297">
        <f t="shared" si="61"/>
        <v>2</v>
      </c>
      <c r="F310" s="298">
        <f t="shared" si="62"/>
        <v>2</v>
      </c>
      <c r="G310" s="298">
        <f t="shared" si="63"/>
        <v>1</v>
      </c>
      <c r="H310" s="298">
        <f t="shared" si="64"/>
        <v>3</v>
      </c>
      <c r="I310" s="298">
        <f t="shared" si="65"/>
        <v>5</v>
      </c>
      <c r="J310" s="298">
        <f t="shared" si="66"/>
        <v>8</v>
      </c>
      <c r="K310" s="299">
        <f t="shared" si="67"/>
        <v>111854</v>
      </c>
      <c r="R310" s="497">
        <f t="shared" si="57"/>
        <v>111854</v>
      </c>
      <c r="T310" s="302">
        <f t="shared" si="58"/>
        <v>111854</v>
      </c>
    </row>
    <row r="311" spans="2:20">
      <c r="B311" s="604">
        <f t="shared" si="59"/>
        <v>2207</v>
      </c>
      <c r="C311" s="297">
        <f t="shared" si="56"/>
        <v>25</v>
      </c>
      <c r="D311" s="297">
        <f t="shared" si="60"/>
        <v>0</v>
      </c>
      <c r="E311" s="297">
        <f t="shared" si="61"/>
        <v>3</v>
      </c>
      <c r="F311" s="298">
        <f t="shared" si="62"/>
        <v>3</v>
      </c>
      <c r="G311" s="298">
        <f t="shared" si="63"/>
        <v>2</v>
      </c>
      <c r="H311" s="298">
        <f t="shared" si="64"/>
        <v>22</v>
      </c>
      <c r="I311" s="298">
        <f t="shared" si="65"/>
        <v>6</v>
      </c>
      <c r="J311" s="298">
        <f t="shared" si="66"/>
        <v>28</v>
      </c>
      <c r="K311" s="299">
        <f t="shared" si="67"/>
        <v>112239</v>
      </c>
      <c r="R311" s="497">
        <f t="shared" si="57"/>
        <v>112239</v>
      </c>
      <c r="T311" s="302">
        <f t="shared" si="58"/>
        <v>112232</v>
      </c>
    </row>
    <row r="312" spans="2:20">
      <c r="B312" s="604">
        <f t="shared" si="59"/>
        <v>2208</v>
      </c>
      <c r="C312" s="297">
        <f t="shared" si="56"/>
        <v>25</v>
      </c>
      <c r="D312" s="297">
        <f t="shared" si="60"/>
        <v>0</v>
      </c>
      <c r="E312" s="297">
        <f t="shared" si="61"/>
        <v>4</v>
      </c>
      <c r="F312" s="298">
        <f t="shared" si="62"/>
        <v>0</v>
      </c>
      <c r="G312" s="298">
        <f t="shared" si="63"/>
        <v>3</v>
      </c>
      <c r="H312" s="298">
        <f t="shared" si="64"/>
        <v>11</v>
      </c>
      <c r="I312" s="298">
        <f t="shared" si="65"/>
        <v>1</v>
      </c>
      <c r="J312" s="298">
        <f t="shared" si="66"/>
        <v>12</v>
      </c>
      <c r="K312" s="299">
        <f t="shared" si="67"/>
        <v>112589</v>
      </c>
      <c r="R312" s="497">
        <f t="shared" si="57"/>
        <v>112589</v>
      </c>
      <c r="T312" s="302">
        <f t="shared" si="58"/>
        <v>112589</v>
      </c>
    </row>
    <row r="313" spans="2:20">
      <c r="B313" s="604">
        <f t="shared" si="59"/>
        <v>2209</v>
      </c>
      <c r="C313" s="297">
        <f t="shared" si="56"/>
        <v>25</v>
      </c>
      <c r="D313" s="297">
        <f t="shared" si="60"/>
        <v>0</v>
      </c>
      <c r="E313" s="297">
        <f t="shared" si="61"/>
        <v>5</v>
      </c>
      <c r="F313" s="298">
        <f t="shared" si="62"/>
        <v>1</v>
      </c>
      <c r="G313" s="298">
        <f t="shared" si="63"/>
        <v>4</v>
      </c>
      <c r="H313" s="298">
        <f t="shared" si="64"/>
        <v>0</v>
      </c>
      <c r="I313" s="298">
        <f t="shared" si="65"/>
        <v>4</v>
      </c>
      <c r="J313" s="298">
        <f t="shared" si="66"/>
        <v>4</v>
      </c>
      <c r="K313" s="299">
        <f t="shared" si="67"/>
        <v>112946</v>
      </c>
      <c r="R313" s="497">
        <f t="shared" si="57"/>
        <v>112946</v>
      </c>
      <c r="T313" s="302">
        <f t="shared" si="58"/>
        <v>112974</v>
      </c>
    </row>
    <row r="314" spans="2:20">
      <c r="B314" s="604">
        <f t="shared" si="59"/>
        <v>2210</v>
      </c>
      <c r="C314" s="297">
        <f t="shared" si="56"/>
        <v>25</v>
      </c>
      <c r="D314" s="297">
        <f t="shared" si="60"/>
        <v>0</v>
      </c>
      <c r="E314" s="297">
        <f t="shared" si="61"/>
        <v>6</v>
      </c>
      <c r="F314" s="298">
        <f t="shared" si="62"/>
        <v>2</v>
      </c>
      <c r="G314" s="298">
        <f t="shared" si="63"/>
        <v>5</v>
      </c>
      <c r="H314" s="298">
        <f t="shared" si="64"/>
        <v>19</v>
      </c>
      <c r="I314" s="298">
        <f t="shared" si="65"/>
        <v>5</v>
      </c>
      <c r="J314" s="298">
        <f t="shared" si="66"/>
        <v>24</v>
      </c>
      <c r="K314" s="299">
        <f t="shared" si="67"/>
        <v>113331</v>
      </c>
      <c r="R314" s="497">
        <f t="shared" si="57"/>
        <v>113331</v>
      </c>
      <c r="T314" s="302">
        <f t="shared" si="58"/>
        <v>113331</v>
      </c>
    </row>
    <row r="315" spans="2:20">
      <c r="B315" s="604">
        <f t="shared" si="59"/>
        <v>2211</v>
      </c>
      <c r="C315" s="297">
        <f t="shared" si="56"/>
        <v>25</v>
      </c>
      <c r="D315" s="297">
        <f t="shared" si="60"/>
        <v>0</v>
      </c>
      <c r="E315" s="297">
        <f t="shared" si="61"/>
        <v>7</v>
      </c>
      <c r="F315" s="298">
        <f t="shared" si="62"/>
        <v>3</v>
      </c>
      <c r="G315" s="298">
        <f t="shared" si="63"/>
        <v>6</v>
      </c>
      <c r="H315" s="298">
        <f t="shared" si="64"/>
        <v>8</v>
      </c>
      <c r="I315" s="298">
        <f t="shared" si="65"/>
        <v>1</v>
      </c>
      <c r="J315" s="298">
        <f t="shared" si="66"/>
        <v>9</v>
      </c>
      <c r="K315" s="299">
        <f t="shared" si="67"/>
        <v>113681</v>
      </c>
      <c r="R315" s="497">
        <f t="shared" si="57"/>
        <v>113681</v>
      </c>
      <c r="T315" s="302">
        <f t="shared" si="58"/>
        <v>113681</v>
      </c>
    </row>
    <row r="316" spans="2:20">
      <c r="B316" s="604">
        <f t="shared" si="59"/>
        <v>2212</v>
      </c>
      <c r="C316" s="297">
        <f t="shared" si="56"/>
        <v>25</v>
      </c>
      <c r="D316" s="297">
        <f t="shared" si="60"/>
        <v>0</v>
      </c>
      <c r="E316" s="297">
        <f t="shared" si="61"/>
        <v>8</v>
      </c>
      <c r="F316" s="298">
        <f t="shared" si="62"/>
        <v>0</v>
      </c>
      <c r="G316" s="298">
        <f t="shared" si="63"/>
        <v>0</v>
      </c>
      <c r="H316" s="298">
        <f t="shared" si="64"/>
        <v>27</v>
      </c>
      <c r="I316" s="298">
        <f t="shared" si="65"/>
        <v>1</v>
      </c>
      <c r="J316" s="298">
        <f t="shared" si="66"/>
        <v>28</v>
      </c>
      <c r="K316" s="299">
        <f t="shared" si="67"/>
        <v>114066</v>
      </c>
      <c r="R316" s="497">
        <f t="shared" si="57"/>
        <v>114066</v>
      </c>
      <c r="T316" s="302">
        <f t="shared" si="58"/>
        <v>114066</v>
      </c>
    </row>
    <row r="317" spans="2:20">
      <c r="B317" s="604">
        <f t="shared" si="59"/>
        <v>2213</v>
      </c>
      <c r="C317" s="297">
        <f t="shared" si="56"/>
        <v>25</v>
      </c>
      <c r="D317" s="297">
        <f t="shared" si="60"/>
        <v>0</v>
      </c>
      <c r="E317" s="297">
        <f t="shared" si="61"/>
        <v>9</v>
      </c>
      <c r="F317" s="298">
        <f t="shared" si="62"/>
        <v>1</v>
      </c>
      <c r="G317" s="298">
        <f t="shared" si="63"/>
        <v>1</v>
      </c>
      <c r="H317" s="298">
        <f t="shared" si="64"/>
        <v>16</v>
      </c>
      <c r="I317" s="298">
        <f t="shared" si="65"/>
        <v>4</v>
      </c>
      <c r="J317" s="298">
        <f t="shared" si="66"/>
        <v>20</v>
      </c>
      <c r="K317" s="299">
        <f t="shared" si="67"/>
        <v>114423</v>
      </c>
      <c r="R317" s="497">
        <f t="shared" si="57"/>
        <v>114423</v>
      </c>
      <c r="T317" s="302">
        <f t="shared" si="58"/>
        <v>114423</v>
      </c>
    </row>
    <row r="318" spans="2:20">
      <c r="B318" s="604">
        <f t="shared" si="59"/>
        <v>2214</v>
      </c>
      <c r="C318" s="297">
        <f t="shared" si="56"/>
        <v>25</v>
      </c>
      <c r="D318" s="297">
        <f t="shared" si="60"/>
        <v>0</v>
      </c>
      <c r="E318" s="297">
        <f t="shared" si="61"/>
        <v>10</v>
      </c>
      <c r="F318" s="298">
        <f t="shared" si="62"/>
        <v>2</v>
      </c>
      <c r="G318" s="298">
        <f t="shared" si="63"/>
        <v>2</v>
      </c>
      <c r="H318" s="298">
        <f t="shared" si="64"/>
        <v>5</v>
      </c>
      <c r="I318" s="298">
        <f t="shared" si="65"/>
        <v>0</v>
      </c>
      <c r="J318" s="298">
        <f t="shared" si="66"/>
        <v>5</v>
      </c>
      <c r="K318" s="299">
        <f t="shared" si="67"/>
        <v>114773</v>
      </c>
      <c r="R318" s="497">
        <f t="shared" si="57"/>
        <v>114773</v>
      </c>
      <c r="T318" s="302">
        <f t="shared" si="58"/>
        <v>114773</v>
      </c>
    </row>
    <row r="319" spans="2:20">
      <c r="B319" s="604">
        <f t="shared" si="59"/>
        <v>2215</v>
      </c>
      <c r="C319" s="297">
        <f t="shared" si="56"/>
        <v>25</v>
      </c>
      <c r="D319" s="297">
        <f t="shared" si="60"/>
        <v>0</v>
      </c>
      <c r="E319" s="297">
        <f t="shared" si="61"/>
        <v>11</v>
      </c>
      <c r="F319" s="298">
        <f t="shared" si="62"/>
        <v>3</v>
      </c>
      <c r="G319" s="298">
        <f t="shared" si="63"/>
        <v>3</v>
      </c>
      <c r="H319" s="298">
        <f t="shared" si="64"/>
        <v>24</v>
      </c>
      <c r="I319" s="298">
        <f t="shared" si="65"/>
        <v>1</v>
      </c>
      <c r="J319" s="298">
        <f t="shared" si="66"/>
        <v>25</v>
      </c>
      <c r="K319" s="299">
        <f t="shared" si="67"/>
        <v>115158</v>
      </c>
      <c r="R319" s="497">
        <f t="shared" si="57"/>
        <v>115158</v>
      </c>
      <c r="T319" s="302">
        <f t="shared" si="58"/>
        <v>115158</v>
      </c>
    </row>
    <row r="320" spans="2:20">
      <c r="B320" s="604">
        <f t="shared" si="59"/>
        <v>2216</v>
      </c>
      <c r="C320" s="297">
        <f t="shared" si="56"/>
        <v>25</v>
      </c>
      <c r="D320" s="297">
        <f t="shared" si="60"/>
        <v>0</v>
      </c>
      <c r="E320" s="297">
        <f t="shared" si="61"/>
        <v>12</v>
      </c>
      <c r="F320" s="298">
        <f t="shared" si="62"/>
        <v>0</v>
      </c>
      <c r="G320" s="298">
        <f t="shared" si="63"/>
        <v>4</v>
      </c>
      <c r="H320" s="298">
        <f t="shared" si="64"/>
        <v>13</v>
      </c>
      <c r="I320" s="298">
        <f t="shared" si="65"/>
        <v>3</v>
      </c>
      <c r="J320" s="298">
        <f t="shared" si="66"/>
        <v>16</v>
      </c>
      <c r="K320" s="299">
        <f t="shared" si="67"/>
        <v>115515</v>
      </c>
      <c r="R320" s="497">
        <f t="shared" si="57"/>
        <v>115515</v>
      </c>
      <c r="T320" s="302">
        <f t="shared" si="58"/>
        <v>115515</v>
      </c>
    </row>
    <row r="321" spans="2:20">
      <c r="B321" s="604">
        <f t="shared" si="59"/>
        <v>2217</v>
      </c>
      <c r="C321" s="297">
        <f t="shared" si="56"/>
        <v>25</v>
      </c>
      <c r="D321" s="297">
        <f t="shared" si="60"/>
        <v>0</v>
      </c>
      <c r="E321" s="297">
        <f t="shared" si="61"/>
        <v>13</v>
      </c>
      <c r="F321" s="298">
        <f t="shared" si="62"/>
        <v>1</v>
      </c>
      <c r="G321" s="298">
        <f t="shared" si="63"/>
        <v>5</v>
      </c>
      <c r="H321" s="298">
        <f t="shared" si="64"/>
        <v>2</v>
      </c>
      <c r="I321" s="298">
        <f t="shared" si="65"/>
        <v>6</v>
      </c>
      <c r="J321" s="298">
        <f t="shared" si="66"/>
        <v>8</v>
      </c>
      <c r="K321" s="299">
        <f t="shared" si="67"/>
        <v>115872</v>
      </c>
      <c r="R321" s="497">
        <f t="shared" si="57"/>
        <v>115872</v>
      </c>
      <c r="T321" s="302">
        <f t="shared" si="58"/>
        <v>115865</v>
      </c>
    </row>
    <row r="322" spans="2:20">
      <c r="B322" s="604">
        <f t="shared" si="59"/>
        <v>2218</v>
      </c>
      <c r="C322" s="297">
        <f t="shared" si="56"/>
        <v>25</v>
      </c>
      <c r="D322" s="297">
        <f t="shared" si="60"/>
        <v>0</v>
      </c>
      <c r="E322" s="297">
        <f t="shared" si="61"/>
        <v>14</v>
      </c>
      <c r="F322" s="298">
        <f t="shared" si="62"/>
        <v>2</v>
      </c>
      <c r="G322" s="298">
        <f t="shared" si="63"/>
        <v>6</v>
      </c>
      <c r="H322" s="298">
        <f t="shared" si="64"/>
        <v>21</v>
      </c>
      <c r="I322" s="298">
        <f t="shared" si="65"/>
        <v>0</v>
      </c>
      <c r="J322" s="298">
        <f t="shared" si="66"/>
        <v>21</v>
      </c>
      <c r="K322" s="299">
        <f t="shared" si="67"/>
        <v>116250</v>
      </c>
      <c r="R322" s="497">
        <f t="shared" si="57"/>
        <v>116250</v>
      </c>
      <c r="T322" s="302">
        <f t="shared" si="58"/>
        <v>116250</v>
      </c>
    </row>
    <row r="323" spans="2:20">
      <c r="B323" s="604">
        <f t="shared" si="59"/>
        <v>2219</v>
      </c>
      <c r="C323" s="297">
        <f t="shared" si="56"/>
        <v>25</v>
      </c>
      <c r="D323" s="297">
        <f t="shared" si="60"/>
        <v>0</v>
      </c>
      <c r="E323" s="297">
        <f t="shared" si="61"/>
        <v>15</v>
      </c>
      <c r="F323" s="298">
        <f t="shared" si="62"/>
        <v>3</v>
      </c>
      <c r="G323" s="298">
        <f t="shared" si="63"/>
        <v>0</v>
      </c>
      <c r="H323" s="298">
        <f t="shared" si="64"/>
        <v>10</v>
      </c>
      <c r="I323" s="298">
        <f t="shared" si="65"/>
        <v>3</v>
      </c>
      <c r="J323" s="298">
        <f t="shared" si="66"/>
        <v>13</v>
      </c>
      <c r="K323" s="299">
        <f t="shared" si="67"/>
        <v>116607</v>
      </c>
      <c r="R323" s="497">
        <f t="shared" si="57"/>
        <v>116607</v>
      </c>
      <c r="T323" s="302">
        <f t="shared" si="58"/>
        <v>116607</v>
      </c>
    </row>
    <row r="324" spans="2:20">
      <c r="B324" s="604">
        <f t="shared" si="59"/>
        <v>2220</v>
      </c>
      <c r="C324" s="297">
        <f t="shared" si="56"/>
        <v>25</v>
      </c>
      <c r="D324" s="297">
        <f t="shared" si="60"/>
        <v>0</v>
      </c>
      <c r="E324" s="297">
        <f t="shared" si="61"/>
        <v>16</v>
      </c>
      <c r="F324" s="298">
        <f t="shared" si="62"/>
        <v>0</v>
      </c>
      <c r="G324" s="298">
        <f t="shared" si="63"/>
        <v>1</v>
      </c>
      <c r="H324" s="298">
        <f t="shared" si="64"/>
        <v>29</v>
      </c>
      <c r="I324" s="298">
        <f t="shared" si="65"/>
        <v>3</v>
      </c>
      <c r="J324" s="298">
        <f t="shared" si="66"/>
        <v>32</v>
      </c>
      <c r="K324" s="299">
        <f t="shared" si="67"/>
        <v>116992</v>
      </c>
      <c r="R324" s="497">
        <f t="shared" si="57"/>
        <v>116992</v>
      </c>
      <c r="T324" s="302">
        <f t="shared" si="58"/>
        <v>116992</v>
      </c>
    </row>
    <row r="325" spans="2:20">
      <c r="B325" s="604">
        <f t="shared" si="59"/>
        <v>2221</v>
      </c>
      <c r="C325" s="297">
        <f t="shared" ref="C325:C388" si="68">VLOOKUP(B325,$M$4:$P$86,3,TRUE)</f>
        <v>25</v>
      </c>
      <c r="D325" s="297">
        <f t="shared" si="60"/>
        <v>0</v>
      </c>
      <c r="E325" s="297">
        <f t="shared" si="61"/>
        <v>17</v>
      </c>
      <c r="F325" s="298">
        <f t="shared" si="62"/>
        <v>1</v>
      </c>
      <c r="G325" s="298">
        <f t="shared" si="63"/>
        <v>2</v>
      </c>
      <c r="H325" s="298">
        <f t="shared" si="64"/>
        <v>18</v>
      </c>
      <c r="I325" s="298">
        <f t="shared" si="65"/>
        <v>6</v>
      </c>
      <c r="J325" s="298">
        <f t="shared" si="66"/>
        <v>24</v>
      </c>
      <c r="K325" s="299">
        <f t="shared" si="67"/>
        <v>117349</v>
      </c>
      <c r="R325" s="497">
        <f t="shared" ref="R325:R388" si="69">IF(MOD(19*MOD(B325,19)+C325,30)+MOD(2*MOD(B325,4)+4*MOD(B325,7)+6*MOD(19*MOD(B325,19)+C325,30)+D325,7)-9&lt;=0,DATE(B325,3,22+MOD(19*MOD(B325,19)+C325,30)+MOD(2*MOD(B325,4)+4*MOD(B325,7)+6*MOD(19*MOD(B325,19)+C325,30)+D325,7)),DATE(B325,4,MOD(19*MOD(B325,19)+C325,30)+MOD(2*MOD(B325,4)+4*MOD(B325,7)+6*MOD(19*MOD(B325,19)+C325,30)+D325,7)-9))</f>
        <v>117349</v>
      </c>
      <c r="T325" s="302">
        <f t="shared" ref="T325:T388" si="70">DOLLAR(("4/"&amp;B325)/7+MOD(19*MOD(B325,19)-7,30)*14%,)*7-6</f>
        <v>117342</v>
      </c>
    </row>
    <row r="326" spans="2:20">
      <c r="B326" s="604">
        <f t="shared" ref="B326:B389" si="71">B325+1</f>
        <v>2222</v>
      </c>
      <c r="C326" s="297">
        <f t="shared" si="68"/>
        <v>25</v>
      </c>
      <c r="D326" s="297">
        <f t="shared" si="60"/>
        <v>0</v>
      </c>
      <c r="E326" s="297">
        <f t="shared" si="61"/>
        <v>18</v>
      </c>
      <c r="F326" s="298">
        <f t="shared" si="62"/>
        <v>2</v>
      </c>
      <c r="G326" s="298">
        <f t="shared" si="63"/>
        <v>3</v>
      </c>
      <c r="H326" s="298">
        <f t="shared" si="64"/>
        <v>7</v>
      </c>
      <c r="I326" s="298">
        <f t="shared" si="65"/>
        <v>2</v>
      </c>
      <c r="J326" s="298">
        <f t="shared" si="66"/>
        <v>9</v>
      </c>
      <c r="K326" s="299">
        <f t="shared" si="67"/>
        <v>117699</v>
      </c>
      <c r="R326" s="497">
        <f t="shared" si="69"/>
        <v>117699</v>
      </c>
      <c r="T326" s="302">
        <f t="shared" si="70"/>
        <v>117699</v>
      </c>
    </row>
    <row r="327" spans="2:20">
      <c r="B327" s="604">
        <f t="shared" si="71"/>
        <v>2223</v>
      </c>
      <c r="C327" s="297">
        <f t="shared" si="68"/>
        <v>25</v>
      </c>
      <c r="D327" s="297">
        <f t="shared" si="60"/>
        <v>0</v>
      </c>
      <c r="E327" s="297">
        <f t="shared" si="61"/>
        <v>0</v>
      </c>
      <c r="F327" s="298">
        <f t="shared" si="62"/>
        <v>3</v>
      </c>
      <c r="G327" s="298">
        <f t="shared" si="63"/>
        <v>4</v>
      </c>
      <c r="H327" s="298">
        <f t="shared" si="64"/>
        <v>25</v>
      </c>
      <c r="I327" s="298">
        <f t="shared" si="65"/>
        <v>4</v>
      </c>
      <c r="J327" s="298">
        <f t="shared" si="66"/>
        <v>29</v>
      </c>
      <c r="K327" s="299">
        <f t="shared" si="67"/>
        <v>118084</v>
      </c>
      <c r="R327" s="497">
        <f t="shared" si="69"/>
        <v>118084</v>
      </c>
      <c r="T327" s="302">
        <f t="shared" si="70"/>
        <v>118084</v>
      </c>
    </row>
    <row r="328" spans="2:20">
      <c r="B328" s="604">
        <f t="shared" si="71"/>
        <v>2224</v>
      </c>
      <c r="C328" s="297">
        <f t="shared" si="68"/>
        <v>25</v>
      </c>
      <c r="D328" s="297">
        <f t="shared" si="60"/>
        <v>0</v>
      </c>
      <c r="E328" s="297">
        <f t="shared" si="61"/>
        <v>1</v>
      </c>
      <c r="F328" s="298">
        <f t="shared" si="62"/>
        <v>0</v>
      </c>
      <c r="G328" s="298">
        <f t="shared" si="63"/>
        <v>5</v>
      </c>
      <c r="H328" s="298">
        <f t="shared" si="64"/>
        <v>14</v>
      </c>
      <c r="I328" s="298">
        <f t="shared" si="65"/>
        <v>6</v>
      </c>
      <c r="J328" s="298">
        <f t="shared" si="66"/>
        <v>20</v>
      </c>
      <c r="K328" s="299">
        <f t="shared" si="67"/>
        <v>118441</v>
      </c>
      <c r="R328" s="497">
        <f t="shared" si="69"/>
        <v>118441</v>
      </c>
      <c r="T328" s="302">
        <f t="shared" si="70"/>
        <v>118434</v>
      </c>
    </row>
    <row r="329" spans="2:20">
      <c r="B329" s="604">
        <f t="shared" si="71"/>
        <v>2225</v>
      </c>
      <c r="C329" s="297">
        <f t="shared" si="68"/>
        <v>25</v>
      </c>
      <c r="D329" s="297">
        <f t="shared" si="60"/>
        <v>0</v>
      </c>
      <c r="E329" s="297">
        <f t="shared" si="61"/>
        <v>2</v>
      </c>
      <c r="F329" s="298">
        <f t="shared" si="62"/>
        <v>1</v>
      </c>
      <c r="G329" s="298">
        <f t="shared" si="63"/>
        <v>6</v>
      </c>
      <c r="H329" s="298">
        <f t="shared" si="64"/>
        <v>3</v>
      </c>
      <c r="I329" s="298">
        <f t="shared" si="65"/>
        <v>2</v>
      </c>
      <c r="J329" s="298">
        <f t="shared" si="66"/>
        <v>5</v>
      </c>
      <c r="K329" s="299">
        <f t="shared" si="67"/>
        <v>118791</v>
      </c>
      <c r="R329" s="497">
        <f t="shared" si="69"/>
        <v>118791</v>
      </c>
      <c r="T329" s="302">
        <f t="shared" si="70"/>
        <v>118791</v>
      </c>
    </row>
    <row r="330" spans="2:20">
      <c r="B330" s="604">
        <f t="shared" si="71"/>
        <v>2226</v>
      </c>
      <c r="C330" s="297">
        <f t="shared" si="68"/>
        <v>25</v>
      </c>
      <c r="D330" s="297">
        <f t="shared" ref="D330:D393" si="72">VLOOKUP(B330,$M$4:$P$86,4,TRUE)</f>
        <v>0</v>
      </c>
      <c r="E330" s="297">
        <f t="shared" ref="E330:E393" si="73">MOD(B330,19)</f>
        <v>3</v>
      </c>
      <c r="F330" s="298">
        <f t="shared" ref="F330:F393" si="74">MOD(B330,4)</f>
        <v>2</v>
      </c>
      <c r="G330" s="298">
        <f t="shared" ref="G330:G393" si="75">MOD(B330,7)</f>
        <v>0</v>
      </c>
      <c r="H330" s="298">
        <f t="shared" ref="H330:H393" si="76">MOD(19*E330+C330,30)</f>
        <v>22</v>
      </c>
      <c r="I330" s="298">
        <f t="shared" ref="I330:I393" si="77">MOD(2*F330+4*G330+6*H330+D330,7)</f>
        <v>3</v>
      </c>
      <c r="J330" s="298">
        <f t="shared" ref="J330:J393" si="78">H330+I330</f>
        <v>25</v>
      </c>
      <c r="K330" s="299">
        <f t="shared" ref="K330:K393" si="79">IF(J330&lt;10,DATE(B330,3,J330+22),IF(J330-9=26,DATE(B330,4,19),IF(AND(J330-9=25,H330=28,I330=6,E330&gt;10),DATE(B330,4,18),DATE(B330,4,J330-9))))</f>
        <v>119176</v>
      </c>
      <c r="R330" s="497">
        <f t="shared" si="69"/>
        <v>119176</v>
      </c>
      <c r="T330" s="302">
        <f t="shared" si="70"/>
        <v>119176</v>
      </c>
    </row>
    <row r="331" spans="2:20">
      <c r="B331" s="604">
        <f t="shared" si="71"/>
        <v>2227</v>
      </c>
      <c r="C331" s="297">
        <f t="shared" si="68"/>
        <v>25</v>
      </c>
      <c r="D331" s="297">
        <f t="shared" si="72"/>
        <v>0</v>
      </c>
      <c r="E331" s="297">
        <f t="shared" si="73"/>
        <v>4</v>
      </c>
      <c r="F331" s="298">
        <f t="shared" si="74"/>
        <v>3</v>
      </c>
      <c r="G331" s="298">
        <f t="shared" si="75"/>
        <v>1</v>
      </c>
      <c r="H331" s="298">
        <f t="shared" si="76"/>
        <v>11</v>
      </c>
      <c r="I331" s="298">
        <f t="shared" si="77"/>
        <v>6</v>
      </c>
      <c r="J331" s="298">
        <f t="shared" si="78"/>
        <v>17</v>
      </c>
      <c r="K331" s="299">
        <f t="shared" si="79"/>
        <v>119533</v>
      </c>
      <c r="R331" s="497">
        <f t="shared" si="69"/>
        <v>119533</v>
      </c>
      <c r="T331" s="302">
        <f t="shared" si="70"/>
        <v>119526</v>
      </c>
    </row>
    <row r="332" spans="2:20">
      <c r="B332" s="604">
        <f t="shared" si="71"/>
        <v>2228</v>
      </c>
      <c r="C332" s="297">
        <f t="shared" si="68"/>
        <v>25</v>
      </c>
      <c r="D332" s="297">
        <f t="shared" si="72"/>
        <v>0</v>
      </c>
      <c r="E332" s="297">
        <f t="shared" si="73"/>
        <v>5</v>
      </c>
      <c r="F332" s="298">
        <f t="shared" si="74"/>
        <v>0</v>
      </c>
      <c r="G332" s="298">
        <f t="shared" si="75"/>
        <v>2</v>
      </c>
      <c r="H332" s="298">
        <f t="shared" si="76"/>
        <v>0</v>
      </c>
      <c r="I332" s="298">
        <f t="shared" si="77"/>
        <v>1</v>
      </c>
      <c r="J332" s="298">
        <f t="shared" si="78"/>
        <v>1</v>
      </c>
      <c r="K332" s="299">
        <f t="shared" si="79"/>
        <v>119883</v>
      </c>
      <c r="R332" s="497">
        <f t="shared" si="69"/>
        <v>119883</v>
      </c>
      <c r="T332" s="302">
        <f t="shared" si="70"/>
        <v>119911</v>
      </c>
    </row>
    <row r="333" spans="2:20">
      <c r="B333" s="604">
        <f t="shared" si="71"/>
        <v>2229</v>
      </c>
      <c r="C333" s="297">
        <f t="shared" si="68"/>
        <v>25</v>
      </c>
      <c r="D333" s="297">
        <f t="shared" si="72"/>
        <v>0</v>
      </c>
      <c r="E333" s="297">
        <f t="shared" si="73"/>
        <v>6</v>
      </c>
      <c r="F333" s="298">
        <f t="shared" si="74"/>
        <v>1</v>
      </c>
      <c r="G333" s="298">
        <f t="shared" si="75"/>
        <v>3</v>
      </c>
      <c r="H333" s="298">
        <f t="shared" si="76"/>
        <v>19</v>
      </c>
      <c r="I333" s="298">
        <f t="shared" si="77"/>
        <v>2</v>
      </c>
      <c r="J333" s="298">
        <f t="shared" si="78"/>
        <v>21</v>
      </c>
      <c r="K333" s="299">
        <f t="shared" si="79"/>
        <v>120268</v>
      </c>
      <c r="R333" s="497">
        <f t="shared" si="69"/>
        <v>120268</v>
      </c>
      <c r="T333" s="302">
        <f t="shared" si="70"/>
        <v>120268</v>
      </c>
    </row>
    <row r="334" spans="2:20">
      <c r="B334" s="604">
        <f t="shared" si="71"/>
        <v>2230</v>
      </c>
      <c r="C334" s="297">
        <f t="shared" si="68"/>
        <v>25</v>
      </c>
      <c r="D334" s="297">
        <f t="shared" si="72"/>
        <v>0</v>
      </c>
      <c r="E334" s="297">
        <f t="shared" si="73"/>
        <v>7</v>
      </c>
      <c r="F334" s="298">
        <f t="shared" si="74"/>
        <v>2</v>
      </c>
      <c r="G334" s="298">
        <f t="shared" si="75"/>
        <v>4</v>
      </c>
      <c r="H334" s="298">
        <f t="shared" si="76"/>
        <v>8</v>
      </c>
      <c r="I334" s="298">
        <f t="shared" si="77"/>
        <v>5</v>
      </c>
      <c r="J334" s="298">
        <f t="shared" si="78"/>
        <v>13</v>
      </c>
      <c r="K334" s="299">
        <f t="shared" si="79"/>
        <v>120625</v>
      </c>
      <c r="R334" s="497">
        <f t="shared" si="69"/>
        <v>120625</v>
      </c>
      <c r="T334" s="302">
        <f t="shared" si="70"/>
        <v>120625</v>
      </c>
    </row>
    <row r="335" spans="2:20">
      <c r="B335" s="604">
        <f t="shared" si="71"/>
        <v>2231</v>
      </c>
      <c r="C335" s="297">
        <f t="shared" si="68"/>
        <v>25</v>
      </c>
      <c r="D335" s="297">
        <f t="shared" si="72"/>
        <v>0</v>
      </c>
      <c r="E335" s="297">
        <f t="shared" si="73"/>
        <v>8</v>
      </c>
      <c r="F335" s="298">
        <f t="shared" si="74"/>
        <v>3</v>
      </c>
      <c r="G335" s="298">
        <f t="shared" si="75"/>
        <v>5</v>
      </c>
      <c r="H335" s="298">
        <f t="shared" si="76"/>
        <v>27</v>
      </c>
      <c r="I335" s="298">
        <f t="shared" si="77"/>
        <v>6</v>
      </c>
      <c r="J335" s="298">
        <f t="shared" si="78"/>
        <v>33</v>
      </c>
      <c r="K335" s="299">
        <f t="shared" si="79"/>
        <v>121010</v>
      </c>
      <c r="R335" s="497">
        <f t="shared" si="69"/>
        <v>121010</v>
      </c>
      <c r="T335" s="302">
        <f t="shared" si="70"/>
        <v>121003</v>
      </c>
    </row>
    <row r="336" spans="2:20">
      <c r="B336" s="604">
        <f t="shared" si="71"/>
        <v>2232</v>
      </c>
      <c r="C336" s="297">
        <f t="shared" si="68"/>
        <v>25</v>
      </c>
      <c r="D336" s="297">
        <f t="shared" si="72"/>
        <v>0</v>
      </c>
      <c r="E336" s="297">
        <f t="shared" si="73"/>
        <v>9</v>
      </c>
      <c r="F336" s="298">
        <f t="shared" si="74"/>
        <v>0</v>
      </c>
      <c r="G336" s="298">
        <f t="shared" si="75"/>
        <v>6</v>
      </c>
      <c r="H336" s="298">
        <f t="shared" si="76"/>
        <v>16</v>
      </c>
      <c r="I336" s="298">
        <f t="shared" si="77"/>
        <v>1</v>
      </c>
      <c r="J336" s="298">
        <f t="shared" si="78"/>
        <v>17</v>
      </c>
      <c r="K336" s="299">
        <f t="shared" si="79"/>
        <v>121360</v>
      </c>
      <c r="R336" s="497">
        <f t="shared" si="69"/>
        <v>121360</v>
      </c>
      <c r="T336" s="302">
        <f t="shared" si="70"/>
        <v>121360</v>
      </c>
    </row>
    <row r="337" spans="2:20">
      <c r="B337" s="604">
        <f t="shared" si="71"/>
        <v>2233</v>
      </c>
      <c r="C337" s="297">
        <f t="shared" si="68"/>
        <v>25</v>
      </c>
      <c r="D337" s="297">
        <f t="shared" si="72"/>
        <v>0</v>
      </c>
      <c r="E337" s="297">
        <f t="shared" si="73"/>
        <v>10</v>
      </c>
      <c r="F337" s="298">
        <f t="shared" si="74"/>
        <v>1</v>
      </c>
      <c r="G337" s="298">
        <f t="shared" si="75"/>
        <v>0</v>
      </c>
      <c r="H337" s="298">
        <f t="shared" si="76"/>
        <v>5</v>
      </c>
      <c r="I337" s="298">
        <f t="shared" si="77"/>
        <v>4</v>
      </c>
      <c r="J337" s="298">
        <f t="shared" si="78"/>
        <v>9</v>
      </c>
      <c r="K337" s="299">
        <f t="shared" si="79"/>
        <v>121717</v>
      </c>
      <c r="R337" s="497">
        <f t="shared" si="69"/>
        <v>121717</v>
      </c>
      <c r="T337" s="302">
        <f t="shared" si="70"/>
        <v>121717</v>
      </c>
    </row>
    <row r="338" spans="2:20">
      <c r="B338" s="604">
        <f t="shared" si="71"/>
        <v>2234</v>
      </c>
      <c r="C338" s="297">
        <f t="shared" si="68"/>
        <v>25</v>
      </c>
      <c r="D338" s="297">
        <f t="shared" si="72"/>
        <v>0</v>
      </c>
      <c r="E338" s="297">
        <f t="shared" si="73"/>
        <v>11</v>
      </c>
      <c r="F338" s="298">
        <f t="shared" si="74"/>
        <v>2</v>
      </c>
      <c r="G338" s="298">
        <f t="shared" si="75"/>
        <v>1</v>
      </c>
      <c r="H338" s="298">
        <f t="shared" si="76"/>
        <v>24</v>
      </c>
      <c r="I338" s="298">
        <f t="shared" si="77"/>
        <v>5</v>
      </c>
      <c r="J338" s="298">
        <f t="shared" si="78"/>
        <v>29</v>
      </c>
      <c r="K338" s="299">
        <f t="shared" si="79"/>
        <v>122102</v>
      </c>
      <c r="R338" s="497">
        <f t="shared" si="69"/>
        <v>122102</v>
      </c>
      <c r="T338" s="302">
        <f t="shared" si="70"/>
        <v>122102</v>
      </c>
    </row>
    <row r="339" spans="2:20">
      <c r="B339" s="604">
        <f t="shared" si="71"/>
        <v>2235</v>
      </c>
      <c r="C339" s="297">
        <f t="shared" si="68"/>
        <v>25</v>
      </c>
      <c r="D339" s="297">
        <f t="shared" si="72"/>
        <v>0</v>
      </c>
      <c r="E339" s="297">
        <f t="shared" si="73"/>
        <v>12</v>
      </c>
      <c r="F339" s="298">
        <f t="shared" si="74"/>
        <v>3</v>
      </c>
      <c r="G339" s="298">
        <f t="shared" si="75"/>
        <v>2</v>
      </c>
      <c r="H339" s="298">
        <f t="shared" si="76"/>
        <v>13</v>
      </c>
      <c r="I339" s="298">
        <f t="shared" si="77"/>
        <v>1</v>
      </c>
      <c r="J339" s="298">
        <f t="shared" si="78"/>
        <v>14</v>
      </c>
      <c r="K339" s="299">
        <f t="shared" si="79"/>
        <v>122452</v>
      </c>
      <c r="R339" s="497">
        <f t="shared" si="69"/>
        <v>122452</v>
      </c>
      <c r="T339" s="302">
        <f t="shared" si="70"/>
        <v>122452</v>
      </c>
    </row>
    <row r="340" spans="2:20">
      <c r="B340" s="604">
        <f t="shared" si="71"/>
        <v>2236</v>
      </c>
      <c r="C340" s="297">
        <f t="shared" si="68"/>
        <v>25</v>
      </c>
      <c r="D340" s="297">
        <f t="shared" si="72"/>
        <v>0</v>
      </c>
      <c r="E340" s="297">
        <f t="shared" si="73"/>
        <v>13</v>
      </c>
      <c r="F340" s="298">
        <f t="shared" si="74"/>
        <v>0</v>
      </c>
      <c r="G340" s="298">
        <f t="shared" si="75"/>
        <v>3</v>
      </c>
      <c r="H340" s="298">
        <f t="shared" si="76"/>
        <v>2</v>
      </c>
      <c r="I340" s="298">
        <f t="shared" si="77"/>
        <v>3</v>
      </c>
      <c r="J340" s="298">
        <f t="shared" si="78"/>
        <v>5</v>
      </c>
      <c r="K340" s="299">
        <f t="shared" si="79"/>
        <v>122809</v>
      </c>
      <c r="R340" s="497">
        <f t="shared" si="69"/>
        <v>122809</v>
      </c>
      <c r="T340" s="302">
        <f t="shared" si="70"/>
        <v>122809</v>
      </c>
    </row>
    <row r="341" spans="2:20">
      <c r="B341" s="604">
        <f t="shared" si="71"/>
        <v>2237</v>
      </c>
      <c r="C341" s="297">
        <f t="shared" si="68"/>
        <v>25</v>
      </c>
      <c r="D341" s="297">
        <f t="shared" si="72"/>
        <v>0</v>
      </c>
      <c r="E341" s="297">
        <f t="shared" si="73"/>
        <v>14</v>
      </c>
      <c r="F341" s="298">
        <f t="shared" si="74"/>
        <v>1</v>
      </c>
      <c r="G341" s="298">
        <f t="shared" si="75"/>
        <v>4</v>
      </c>
      <c r="H341" s="298">
        <f t="shared" si="76"/>
        <v>21</v>
      </c>
      <c r="I341" s="298">
        <f t="shared" si="77"/>
        <v>4</v>
      </c>
      <c r="J341" s="298">
        <f t="shared" si="78"/>
        <v>25</v>
      </c>
      <c r="K341" s="299">
        <f t="shared" si="79"/>
        <v>123194</v>
      </c>
      <c r="R341" s="497">
        <f t="shared" si="69"/>
        <v>123194</v>
      </c>
      <c r="T341" s="302">
        <f t="shared" si="70"/>
        <v>123194</v>
      </c>
    </row>
    <row r="342" spans="2:20">
      <c r="B342" s="604">
        <f t="shared" si="71"/>
        <v>2238</v>
      </c>
      <c r="C342" s="297">
        <f t="shared" si="68"/>
        <v>25</v>
      </c>
      <c r="D342" s="297">
        <f t="shared" si="72"/>
        <v>0</v>
      </c>
      <c r="E342" s="297">
        <f t="shared" si="73"/>
        <v>15</v>
      </c>
      <c r="F342" s="298">
        <f t="shared" si="74"/>
        <v>2</v>
      </c>
      <c r="G342" s="298">
        <f t="shared" si="75"/>
        <v>5</v>
      </c>
      <c r="H342" s="298">
        <f t="shared" si="76"/>
        <v>10</v>
      </c>
      <c r="I342" s="298">
        <f t="shared" si="77"/>
        <v>0</v>
      </c>
      <c r="J342" s="298">
        <f t="shared" si="78"/>
        <v>10</v>
      </c>
      <c r="K342" s="299">
        <f t="shared" si="79"/>
        <v>123544</v>
      </c>
      <c r="R342" s="497">
        <f t="shared" si="69"/>
        <v>123544</v>
      </c>
      <c r="T342" s="302">
        <f t="shared" si="70"/>
        <v>123544</v>
      </c>
    </row>
    <row r="343" spans="2:20">
      <c r="B343" s="604">
        <f t="shared" si="71"/>
        <v>2239</v>
      </c>
      <c r="C343" s="297">
        <f t="shared" si="68"/>
        <v>25</v>
      </c>
      <c r="D343" s="297">
        <f t="shared" si="72"/>
        <v>0</v>
      </c>
      <c r="E343" s="297">
        <f t="shared" si="73"/>
        <v>16</v>
      </c>
      <c r="F343" s="298">
        <f t="shared" si="74"/>
        <v>3</v>
      </c>
      <c r="G343" s="298">
        <f t="shared" si="75"/>
        <v>6</v>
      </c>
      <c r="H343" s="298">
        <f t="shared" si="76"/>
        <v>29</v>
      </c>
      <c r="I343" s="298">
        <f t="shared" si="77"/>
        <v>1</v>
      </c>
      <c r="J343" s="298">
        <f t="shared" si="78"/>
        <v>30</v>
      </c>
      <c r="K343" s="299">
        <f t="shared" si="79"/>
        <v>123929</v>
      </c>
      <c r="R343" s="497">
        <f t="shared" si="69"/>
        <v>123929</v>
      </c>
      <c r="T343" s="302">
        <f t="shared" si="70"/>
        <v>123929</v>
      </c>
    </row>
    <row r="344" spans="2:20">
      <c r="B344" s="604">
        <f t="shared" si="71"/>
        <v>2240</v>
      </c>
      <c r="C344" s="297">
        <f t="shared" si="68"/>
        <v>25</v>
      </c>
      <c r="D344" s="297">
        <f t="shared" si="72"/>
        <v>0</v>
      </c>
      <c r="E344" s="297">
        <f t="shared" si="73"/>
        <v>17</v>
      </c>
      <c r="F344" s="298">
        <f t="shared" si="74"/>
        <v>0</v>
      </c>
      <c r="G344" s="298">
        <f t="shared" si="75"/>
        <v>0</v>
      </c>
      <c r="H344" s="298">
        <f t="shared" si="76"/>
        <v>18</v>
      </c>
      <c r="I344" s="298">
        <f t="shared" si="77"/>
        <v>3</v>
      </c>
      <c r="J344" s="298">
        <f t="shared" si="78"/>
        <v>21</v>
      </c>
      <c r="K344" s="299">
        <f t="shared" si="79"/>
        <v>124286</v>
      </c>
      <c r="R344" s="497">
        <f t="shared" si="69"/>
        <v>124286</v>
      </c>
      <c r="T344" s="302">
        <f t="shared" si="70"/>
        <v>124286</v>
      </c>
    </row>
    <row r="345" spans="2:20">
      <c r="B345" s="604">
        <f t="shared" si="71"/>
        <v>2241</v>
      </c>
      <c r="C345" s="297">
        <f t="shared" si="68"/>
        <v>25</v>
      </c>
      <c r="D345" s="297">
        <f t="shared" si="72"/>
        <v>0</v>
      </c>
      <c r="E345" s="297">
        <f t="shared" si="73"/>
        <v>18</v>
      </c>
      <c r="F345" s="298">
        <f t="shared" si="74"/>
        <v>1</v>
      </c>
      <c r="G345" s="298">
        <f t="shared" si="75"/>
        <v>1</v>
      </c>
      <c r="H345" s="298">
        <f t="shared" si="76"/>
        <v>7</v>
      </c>
      <c r="I345" s="298">
        <f t="shared" si="77"/>
        <v>6</v>
      </c>
      <c r="J345" s="298">
        <f t="shared" si="78"/>
        <v>13</v>
      </c>
      <c r="K345" s="299">
        <f t="shared" si="79"/>
        <v>124643</v>
      </c>
      <c r="R345" s="497">
        <f t="shared" si="69"/>
        <v>124643</v>
      </c>
      <c r="T345" s="302">
        <f t="shared" si="70"/>
        <v>124636</v>
      </c>
    </row>
    <row r="346" spans="2:20">
      <c r="B346" s="604">
        <f t="shared" si="71"/>
        <v>2242</v>
      </c>
      <c r="C346" s="297">
        <f t="shared" si="68"/>
        <v>25</v>
      </c>
      <c r="D346" s="297">
        <f t="shared" si="72"/>
        <v>0</v>
      </c>
      <c r="E346" s="297">
        <f t="shared" si="73"/>
        <v>0</v>
      </c>
      <c r="F346" s="298">
        <f t="shared" si="74"/>
        <v>2</v>
      </c>
      <c r="G346" s="298">
        <f t="shared" si="75"/>
        <v>2</v>
      </c>
      <c r="H346" s="298">
        <f t="shared" si="76"/>
        <v>25</v>
      </c>
      <c r="I346" s="298">
        <f t="shared" si="77"/>
        <v>1</v>
      </c>
      <c r="J346" s="298">
        <f t="shared" si="78"/>
        <v>26</v>
      </c>
      <c r="K346" s="299">
        <f t="shared" si="79"/>
        <v>125021</v>
      </c>
      <c r="R346" s="497">
        <f t="shared" si="69"/>
        <v>125021</v>
      </c>
      <c r="T346" s="302">
        <f t="shared" si="70"/>
        <v>125021</v>
      </c>
    </row>
    <row r="347" spans="2:20">
      <c r="B347" s="604">
        <f t="shared" si="71"/>
        <v>2243</v>
      </c>
      <c r="C347" s="297">
        <f t="shared" si="68"/>
        <v>25</v>
      </c>
      <c r="D347" s="297">
        <f t="shared" si="72"/>
        <v>0</v>
      </c>
      <c r="E347" s="297">
        <f t="shared" si="73"/>
        <v>1</v>
      </c>
      <c r="F347" s="298">
        <f t="shared" si="74"/>
        <v>3</v>
      </c>
      <c r="G347" s="298">
        <f t="shared" si="75"/>
        <v>3</v>
      </c>
      <c r="H347" s="298">
        <f t="shared" si="76"/>
        <v>14</v>
      </c>
      <c r="I347" s="298">
        <f t="shared" si="77"/>
        <v>4</v>
      </c>
      <c r="J347" s="298">
        <f t="shared" si="78"/>
        <v>18</v>
      </c>
      <c r="K347" s="299">
        <f t="shared" si="79"/>
        <v>125378</v>
      </c>
      <c r="R347" s="497">
        <f t="shared" si="69"/>
        <v>125378</v>
      </c>
      <c r="T347" s="302">
        <f t="shared" si="70"/>
        <v>125378</v>
      </c>
    </row>
    <row r="348" spans="2:20">
      <c r="B348" s="604">
        <f t="shared" si="71"/>
        <v>2244</v>
      </c>
      <c r="C348" s="297">
        <f t="shared" si="68"/>
        <v>25</v>
      </c>
      <c r="D348" s="297">
        <f t="shared" si="72"/>
        <v>0</v>
      </c>
      <c r="E348" s="297">
        <f t="shared" si="73"/>
        <v>2</v>
      </c>
      <c r="F348" s="298">
        <f t="shared" si="74"/>
        <v>0</v>
      </c>
      <c r="G348" s="298">
        <f t="shared" si="75"/>
        <v>4</v>
      </c>
      <c r="H348" s="298">
        <f t="shared" si="76"/>
        <v>3</v>
      </c>
      <c r="I348" s="298">
        <f t="shared" si="77"/>
        <v>6</v>
      </c>
      <c r="J348" s="298">
        <f t="shared" si="78"/>
        <v>9</v>
      </c>
      <c r="K348" s="299">
        <f t="shared" si="79"/>
        <v>125735</v>
      </c>
      <c r="R348" s="497">
        <f t="shared" si="69"/>
        <v>125735</v>
      </c>
      <c r="T348" s="302">
        <f t="shared" si="70"/>
        <v>125728</v>
      </c>
    </row>
    <row r="349" spans="2:20">
      <c r="B349" s="604">
        <f t="shared" si="71"/>
        <v>2245</v>
      </c>
      <c r="C349" s="297">
        <f t="shared" si="68"/>
        <v>25</v>
      </c>
      <c r="D349" s="297">
        <f t="shared" si="72"/>
        <v>0</v>
      </c>
      <c r="E349" s="297">
        <f t="shared" si="73"/>
        <v>3</v>
      </c>
      <c r="F349" s="298">
        <f t="shared" si="74"/>
        <v>1</v>
      </c>
      <c r="G349" s="298">
        <f t="shared" si="75"/>
        <v>5</v>
      </c>
      <c r="H349" s="298">
        <f t="shared" si="76"/>
        <v>22</v>
      </c>
      <c r="I349" s="298">
        <f t="shared" si="77"/>
        <v>0</v>
      </c>
      <c r="J349" s="298">
        <f t="shared" si="78"/>
        <v>22</v>
      </c>
      <c r="K349" s="299">
        <f t="shared" si="79"/>
        <v>126113</v>
      </c>
      <c r="R349" s="497">
        <f t="shared" si="69"/>
        <v>126113</v>
      </c>
      <c r="T349" s="302">
        <f t="shared" si="70"/>
        <v>126113</v>
      </c>
    </row>
    <row r="350" spans="2:20">
      <c r="B350" s="604">
        <f t="shared" si="71"/>
        <v>2246</v>
      </c>
      <c r="C350" s="297">
        <f t="shared" si="68"/>
        <v>25</v>
      </c>
      <c r="D350" s="297">
        <f t="shared" si="72"/>
        <v>0</v>
      </c>
      <c r="E350" s="297">
        <f t="shared" si="73"/>
        <v>4</v>
      </c>
      <c r="F350" s="298">
        <f t="shared" si="74"/>
        <v>2</v>
      </c>
      <c r="G350" s="298">
        <f t="shared" si="75"/>
        <v>6</v>
      </c>
      <c r="H350" s="298">
        <f t="shared" si="76"/>
        <v>11</v>
      </c>
      <c r="I350" s="298">
        <f t="shared" si="77"/>
        <v>3</v>
      </c>
      <c r="J350" s="298">
        <f t="shared" si="78"/>
        <v>14</v>
      </c>
      <c r="K350" s="299">
        <f t="shared" si="79"/>
        <v>126470</v>
      </c>
      <c r="R350" s="497">
        <f t="shared" si="69"/>
        <v>126470</v>
      </c>
      <c r="T350" s="302">
        <f t="shared" si="70"/>
        <v>126470</v>
      </c>
    </row>
    <row r="351" spans="2:20">
      <c r="B351" s="604">
        <f t="shared" si="71"/>
        <v>2247</v>
      </c>
      <c r="C351" s="297">
        <f t="shared" si="68"/>
        <v>25</v>
      </c>
      <c r="D351" s="297">
        <f t="shared" si="72"/>
        <v>0</v>
      </c>
      <c r="E351" s="297">
        <f t="shared" si="73"/>
        <v>5</v>
      </c>
      <c r="F351" s="298">
        <f t="shared" si="74"/>
        <v>3</v>
      </c>
      <c r="G351" s="298">
        <f t="shared" si="75"/>
        <v>0</v>
      </c>
      <c r="H351" s="298">
        <f t="shared" si="76"/>
        <v>0</v>
      </c>
      <c r="I351" s="298">
        <f t="shared" si="77"/>
        <v>6</v>
      </c>
      <c r="J351" s="298">
        <f t="shared" si="78"/>
        <v>6</v>
      </c>
      <c r="K351" s="299">
        <f t="shared" si="79"/>
        <v>126827</v>
      </c>
      <c r="R351" s="497">
        <f t="shared" si="69"/>
        <v>126827</v>
      </c>
      <c r="T351" s="302">
        <f t="shared" si="70"/>
        <v>126855</v>
      </c>
    </row>
    <row r="352" spans="2:20">
      <c r="B352" s="604">
        <f t="shared" si="71"/>
        <v>2248</v>
      </c>
      <c r="C352" s="297">
        <f t="shared" si="68"/>
        <v>25</v>
      </c>
      <c r="D352" s="297">
        <f t="shared" si="72"/>
        <v>0</v>
      </c>
      <c r="E352" s="297">
        <f t="shared" si="73"/>
        <v>6</v>
      </c>
      <c r="F352" s="298">
        <f t="shared" si="74"/>
        <v>0</v>
      </c>
      <c r="G352" s="298">
        <f t="shared" si="75"/>
        <v>1</v>
      </c>
      <c r="H352" s="298">
        <f t="shared" si="76"/>
        <v>19</v>
      </c>
      <c r="I352" s="298">
        <f t="shared" si="77"/>
        <v>6</v>
      </c>
      <c r="J352" s="298">
        <f t="shared" si="78"/>
        <v>25</v>
      </c>
      <c r="K352" s="299">
        <f t="shared" si="79"/>
        <v>127212</v>
      </c>
      <c r="R352" s="497">
        <f t="shared" si="69"/>
        <v>127212</v>
      </c>
      <c r="T352" s="302">
        <f t="shared" si="70"/>
        <v>127205</v>
      </c>
    </row>
    <row r="353" spans="2:20">
      <c r="B353" s="604">
        <f t="shared" si="71"/>
        <v>2249</v>
      </c>
      <c r="C353" s="297">
        <f t="shared" si="68"/>
        <v>25</v>
      </c>
      <c r="D353" s="297">
        <f t="shared" si="72"/>
        <v>0</v>
      </c>
      <c r="E353" s="297">
        <f t="shared" si="73"/>
        <v>7</v>
      </c>
      <c r="F353" s="298">
        <f t="shared" si="74"/>
        <v>1</v>
      </c>
      <c r="G353" s="298">
        <f t="shared" si="75"/>
        <v>2</v>
      </c>
      <c r="H353" s="298">
        <f t="shared" si="76"/>
        <v>8</v>
      </c>
      <c r="I353" s="298">
        <f t="shared" si="77"/>
        <v>2</v>
      </c>
      <c r="J353" s="298">
        <f t="shared" si="78"/>
        <v>10</v>
      </c>
      <c r="K353" s="299">
        <f t="shared" si="79"/>
        <v>127562</v>
      </c>
      <c r="R353" s="497">
        <f t="shared" si="69"/>
        <v>127562</v>
      </c>
      <c r="T353" s="302">
        <f t="shared" si="70"/>
        <v>127562</v>
      </c>
    </row>
    <row r="354" spans="2:20">
      <c r="B354" s="604">
        <f t="shared" si="71"/>
        <v>2250</v>
      </c>
      <c r="C354" s="297">
        <f t="shared" si="68"/>
        <v>25</v>
      </c>
      <c r="D354" s="297">
        <f t="shared" si="72"/>
        <v>0</v>
      </c>
      <c r="E354" s="297">
        <f t="shared" si="73"/>
        <v>8</v>
      </c>
      <c r="F354" s="298">
        <f t="shared" si="74"/>
        <v>2</v>
      </c>
      <c r="G354" s="298">
        <f t="shared" si="75"/>
        <v>3</v>
      </c>
      <c r="H354" s="298">
        <f t="shared" si="76"/>
        <v>27</v>
      </c>
      <c r="I354" s="298">
        <f t="shared" si="77"/>
        <v>3</v>
      </c>
      <c r="J354" s="298">
        <f t="shared" si="78"/>
        <v>30</v>
      </c>
      <c r="K354" s="299">
        <f t="shared" si="79"/>
        <v>127947</v>
      </c>
      <c r="R354" s="497">
        <f t="shared" si="69"/>
        <v>127947</v>
      </c>
      <c r="T354" s="302">
        <f t="shared" si="70"/>
        <v>127947</v>
      </c>
    </row>
    <row r="355" spans="2:20">
      <c r="B355" s="604">
        <f t="shared" si="71"/>
        <v>2251</v>
      </c>
      <c r="C355" s="297">
        <f t="shared" si="68"/>
        <v>25</v>
      </c>
      <c r="D355" s="297">
        <f t="shared" si="72"/>
        <v>0</v>
      </c>
      <c r="E355" s="297">
        <f t="shared" si="73"/>
        <v>9</v>
      </c>
      <c r="F355" s="298">
        <f t="shared" si="74"/>
        <v>3</v>
      </c>
      <c r="G355" s="298">
        <f t="shared" si="75"/>
        <v>4</v>
      </c>
      <c r="H355" s="298">
        <f t="shared" si="76"/>
        <v>16</v>
      </c>
      <c r="I355" s="298">
        <f t="shared" si="77"/>
        <v>6</v>
      </c>
      <c r="J355" s="298">
        <f t="shared" si="78"/>
        <v>22</v>
      </c>
      <c r="K355" s="299">
        <f t="shared" si="79"/>
        <v>128304</v>
      </c>
      <c r="R355" s="497">
        <f t="shared" si="69"/>
        <v>128304</v>
      </c>
      <c r="T355" s="302">
        <f t="shared" si="70"/>
        <v>128297</v>
      </c>
    </row>
    <row r="356" spans="2:20">
      <c r="B356" s="604">
        <f t="shared" si="71"/>
        <v>2252</v>
      </c>
      <c r="C356" s="297">
        <f t="shared" si="68"/>
        <v>25</v>
      </c>
      <c r="D356" s="297">
        <f t="shared" si="72"/>
        <v>0</v>
      </c>
      <c r="E356" s="297">
        <f t="shared" si="73"/>
        <v>10</v>
      </c>
      <c r="F356" s="298">
        <f t="shared" si="74"/>
        <v>0</v>
      </c>
      <c r="G356" s="298">
        <f t="shared" si="75"/>
        <v>5</v>
      </c>
      <c r="H356" s="298">
        <f t="shared" si="76"/>
        <v>5</v>
      </c>
      <c r="I356" s="298">
        <f t="shared" si="77"/>
        <v>1</v>
      </c>
      <c r="J356" s="298">
        <f t="shared" si="78"/>
        <v>6</v>
      </c>
      <c r="K356" s="299">
        <f t="shared" si="79"/>
        <v>128654</v>
      </c>
      <c r="R356" s="497">
        <f t="shared" si="69"/>
        <v>128654</v>
      </c>
      <c r="T356" s="302">
        <f t="shared" si="70"/>
        <v>128654</v>
      </c>
    </row>
    <row r="357" spans="2:20">
      <c r="B357" s="604">
        <f t="shared" si="71"/>
        <v>2253</v>
      </c>
      <c r="C357" s="297">
        <f t="shared" si="68"/>
        <v>25</v>
      </c>
      <c r="D357" s="297">
        <f t="shared" si="72"/>
        <v>0</v>
      </c>
      <c r="E357" s="297">
        <f t="shared" si="73"/>
        <v>11</v>
      </c>
      <c r="F357" s="298">
        <f t="shared" si="74"/>
        <v>1</v>
      </c>
      <c r="G357" s="298">
        <f t="shared" si="75"/>
        <v>6</v>
      </c>
      <c r="H357" s="298">
        <f t="shared" si="76"/>
        <v>24</v>
      </c>
      <c r="I357" s="298">
        <f t="shared" si="77"/>
        <v>2</v>
      </c>
      <c r="J357" s="298">
        <f t="shared" si="78"/>
        <v>26</v>
      </c>
      <c r="K357" s="299">
        <f t="shared" si="79"/>
        <v>129039</v>
      </c>
      <c r="R357" s="497">
        <f t="shared" si="69"/>
        <v>129039</v>
      </c>
      <c r="T357" s="302">
        <f t="shared" si="70"/>
        <v>129039</v>
      </c>
    </row>
    <row r="358" spans="2:20">
      <c r="B358" s="604">
        <f t="shared" si="71"/>
        <v>2254</v>
      </c>
      <c r="C358" s="297">
        <f t="shared" si="68"/>
        <v>25</v>
      </c>
      <c r="D358" s="297">
        <f t="shared" si="72"/>
        <v>0</v>
      </c>
      <c r="E358" s="297">
        <f t="shared" si="73"/>
        <v>12</v>
      </c>
      <c r="F358" s="298">
        <f t="shared" si="74"/>
        <v>2</v>
      </c>
      <c r="G358" s="298">
        <f t="shared" si="75"/>
        <v>0</v>
      </c>
      <c r="H358" s="298">
        <f t="shared" si="76"/>
        <v>13</v>
      </c>
      <c r="I358" s="298">
        <f t="shared" si="77"/>
        <v>5</v>
      </c>
      <c r="J358" s="298">
        <f t="shared" si="78"/>
        <v>18</v>
      </c>
      <c r="K358" s="299">
        <f t="shared" si="79"/>
        <v>129396</v>
      </c>
      <c r="R358" s="497">
        <f t="shared" si="69"/>
        <v>129396</v>
      </c>
      <c r="T358" s="302">
        <f t="shared" si="70"/>
        <v>129396</v>
      </c>
    </row>
    <row r="359" spans="2:20">
      <c r="B359" s="604">
        <f t="shared" si="71"/>
        <v>2255</v>
      </c>
      <c r="C359" s="297">
        <f t="shared" si="68"/>
        <v>25</v>
      </c>
      <c r="D359" s="297">
        <f t="shared" si="72"/>
        <v>0</v>
      </c>
      <c r="E359" s="297">
        <f t="shared" si="73"/>
        <v>13</v>
      </c>
      <c r="F359" s="298">
        <f t="shared" si="74"/>
        <v>3</v>
      </c>
      <c r="G359" s="298">
        <f t="shared" si="75"/>
        <v>1</v>
      </c>
      <c r="H359" s="298">
        <f t="shared" si="76"/>
        <v>2</v>
      </c>
      <c r="I359" s="298">
        <f t="shared" si="77"/>
        <v>1</v>
      </c>
      <c r="J359" s="298">
        <f t="shared" si="78"/>
        <v>3</v>
      </c>
      <c r="K359" s="299">
        <f t="shared" si="79"/>
        <v>129746</v>
      </c>
      <c r="R359" s="497">
        <f t="shared" si="69"/>
        <v>129746</v>
      </c>
      <c r="T359" s="302">
        <f t="shared" si="70"/>
        <v>129746</v>
      </c>
    </row>
    <row r="360" spans="2:20">
      <c r="B360" s="604">
        <f t="shared" si="71"/>
        <v>2256</v>
      </c>
      <c r="C360" s="297">
        <f t="shared" si="68"/>
        <v>25</v>
      </c>
      <c r="D360" s="297">
        <f t="shared" si="72"/>
        <v>0</v>
      </c>
      <c r="E360" s="297">
        <f t="shared" si="73"/>
        <v>14</v>
      </c>
      <c r="F360" s="298">
        <f t="shared" si="74"/>
        <v>0</v>
      </c>
      <c r="G360" s="298">
        <f t="shared" si="75"/>
        <v>2</v>
      </c>
      <c r="H360" s="298">
        <f t="shared" si="76"/>
        <v>21</v>
      </c>
      <c r="I360" s="298">
        <f t="shared" si="77"/>
        <v>1</v>
      </c>
      <c r="J360" s="298">
        <f t="shared" si="78"/>
        <v>22</v>
      </c>
      <c r="K360" s="299">
        <f t="shared" si="79"/>
        <v>130131</v>
      </c>
      <c r="R360" s="497">
        <f t="shared" si="69"/>
        <v>130131</v>
      </c>
      <c r="T360" s="302">
        <f t="shared" si="70"/>
        <v>130131</v>
      </c>
    </row>
    <row r="361" spans="2:20">
      <c r="B361" s="604">
        <f t="shared" si="71"/>
        <v>2257</v>
      </c>
      <c r="C361" s="297">
        <f t="shared" si="68"/>
        <v>25</v>
      </c>
      <c r="D361" s="297">
        <f t="shared" si="72"/>
        <v>0</v>
      </c>
      <c r="E361" s="297">
        <f t="shared" si="73"/>
        <v>15</v>
      </c>
      <c r="F361" s="298">
        <f t="shared" si="74"/>
        <v>1</v>
      </c>
      <c r="G361" s="298">
        <f t="shared" si="75"/>
        <v>3</v>
      </c>
      <c r="H361" s="298">
        <f t="shared" si="76"/>
        <v>10</v>
      </c>
      <c r="I361" s="298">
        <f t="shared" si="77"/>
        <v>4</v>
      </c>
      <c r="J361" s="298">
        <f t="shared" si="78"/>
        <v>14</v>
      </c>
      <c r="K361" s="299">
        <f t="shared" si="79"/>
        <v>130488</v>
      </c>
      <c r="R361" s="497">
        <f t="shared" si="69"/>
        <v>130488</v>
      </c>
      <c r="T361" s="302">
        <f t="shared" si="70"/>
        <v>130488</v>
      </c>
    </row>
    <row r="362" spans="2:20">
      <c r="B362" s="604">
        <f t="shared" si="71"/>
        <v>2258</v>
      </c>
      <c r="C362" s="297">
        <f t="shared" si="68"/>
        <v>25</v>
      </c>
      <c r="D362" s="297">
        <f t="shared" si="72"/>
        <v>0</v>
      </c>
      <c r="E362" s="297">
        <f t="shared" si="73"/>
        <v>16</v>
      </c>
      <c r="F362" s="298">
        <f t="shared" si="74"/>
        <v>2</v>
      </c>
      <c r="G362" s="298">
        <f t="shared" si="75"/>
        <v>4</v>
      </c>
      <c r="H362" s="298">
        <f t="shared" si="76"/>
        <v>29</v>
      </c>
      <c r="I362" s="298">
        <f t="shared" si="77"/>
        <v>5</v>
      </c>
      <c r="J362" s="298">
        <f t="shared" si="78"/>
        <v>34</v>
      </c>
      <c r="K362" s="299">
        <f t="shared" si="79"/>
        <v>130873</v>
      </c>
      <c r="R362" s="497">
        <f t="shared" si="69"/>
        <v>130873</v>
      </c>
      <c r="T362" s="302">
        <f t="shared" si="70"/>
        <v>130866</v>
      </c>
    </row>
    <row r="363" spans="2:20">
      <c r="B363" s="604">
        <f t="shared" si="71"/>
        <v>2259</v>
      </c>
      <c r="C363" s="297">
        <f t="shared" si="68"/>
        <v>25</v>
      </c>
      <c r="D363" s="297">
        <f t="shared" si="72"/>
        <v>0</v>
      </c>
      <c r="E363" s="297">
        <f t="shared" si="73"/>
        <v>17</v>
      </c>
      <c r="F363" s="298">
        <f t="shared" si="74"/>
        <v>3</v>
      </c>
      <c r="G363" s="298">
        <f t="shared" si="75"/>
        <v>5</v>
      </c>
      <c r="H363" s="298">
        <f t="shared" si="76"/>
        <v>18</v>
      </c>
      <c r="I363" s="298">
        <f t="shared" si="77"/>
        <v>1</v>
      </c>
      <c r="J363" s="298">
        <f t="shared" si="78"/>
        <v>19</v>
      </c>
      <c r="K363" s="299">
        <f t="shared" si="79"/>
        <v>131223</v>
      </c>
      <c r="R363" s="497">
        <f t="shared" si="69"/>
        <v>131223</v>
      </c>
      <c r="T363" s="302">
        <f t="shared" si="70"/>
        <v>131223</v>
      </c>
    </row>
    <row r="364" spans="2:20">
      <c r="B364" s="604">
        <f t="shared" si="71"/>
        <v>2260</v>
      </c>
      <c r="C364" s="297">
        <f t="shared" si="68"/>
        <v>25</v>
      </c>
      <c r="D364" s="297">
        <f t="shared" si="72"/>
        <v>0</v>
      </c>
      <c r="E364" s="297">
        <f t="shared" si="73"/>
        <v>18</v>
      </c>
      <c r="F364" s="298">
        <f t="shared" si="74"/>
        <v>0</v>
      </c>
      <c r="G364" s="298">
        <f t="shared" si="75"/>
        <v>6</v>
      </c>
      <c r="H364" s="298">
        <f t="shared" si="76"/>
        <v>7</v>
      </c>
      <c r="I364" s="298">
        <f t="shared" si="77"/>
        <v>3</v>
      </c>
      <c r="J364" s="298">
        <f t="shared" si="78"/>
        <v>10</v>
      </c>
      <c r="K364" s="299">
        <f t="shared" si="79"/>
        <v>131580</v>
      </c>
      <c r="R364" s="497">
        <f t="shared" si="69"/>
        <v>131580</v>
      </c>
      <c r="T364" s="302">
        <f t="shared" si="70"/>
        <v>131580</v>
      </c>
    </row>
    <row r="365" spans="2:20">
      <c r="B365" s="604">
        <f t="shared" si="71"/>
        <v>2261</v>
      </c>
      <c r="C365" s="297">
        <f t="shared" si="68"/>
        <v>25</v>
      </c>
      <c r="D365" s="297">
        <f t="shared" si="72"/>
        <v>0</v>
      </c>
      <c r="E365" s="297">
        <f t="shared" si="73"/>
        <v>0</v>
      </c>
      <c r="F365" s="298">
        <f t="shared" si="74"/>
        <v>1</v>
      </c>
      <c r="G365" s="298">
        <f t="shared" si="75"/>
        <v>0</v>
      </c>
      <c r="H365" s="298">
        <f t="shared" si="76"/>
        <v>25</v>
      </c>
      <c r="I365" s="298">
        <f t="shared" si="77"/>
        <v>5</v>
      </c>
      <c r="J365" s="298">
        <f t="shared" si="78"/>
        <v>30</v>
      </c>
      <c r="K365" s="299">
        <f t="shared" si="79"/>
        <v>131965</v>
      </c>
      <c r="R365" s="497">
        <f t="shared" si="69"/>
        <v>131965</v>
      </c>
      <c r="T365" s="302">
        <f t="shared" si="70"/>
        <v>131965</v>
      </c>
    </row>
    <row r="366" spans="2:20">
      <c r="B366" s="604">
        <f t="shared" si="71"/>
        <v>2262</v>
      </c>
      <c r="C366" s="297">
        <f t="shared" si="68"/>
        <v>25</v>
      </c>
      <c r="D366" s="297">
        <f t="shared" si="72"/>
        <v>0</v>
      </c>
      <c r="E366" s="297">
        <f t="shared" si="73"/>
        <v>1</v>
      </c>
      <c r="F366" s="298">
        <f t="shared" si="74"/>
        <v>2</v>
      </c>
      <c r="G366" s="298">
        <f t="shared" si="75"/>
        <v>1</v>
      </c>
      <c r="H366" s="298">
        <f t="shared" si="76"/>
        <v>14</v>
      </c>
      <c r="I366" s="298">
        <f t="shared" si="77"/>
        <v>1</v>
      </c>
      <c r="J366" s="298">
        <f t="shared" si="78"/>
        <v>15</v>
      </c>
      <c r="K366" s="299">
        <f t="shared" si="79"/>
        <v>132315</v>
      </c>
      <c r="R366" s="497">
        <f t="shared" si="69"/>
        <v>132315</v>
      </c>
      <c r="T366" s="302">
        <f t="shared" si="70"/>
        <v>132315</v>
      </c>
    </row>
    <row r="367" spans="2:20">
      <c r="B367" s="604">
        <f t="shared" si="71"/>
        <v>2263</v>
      </c>
      <c r="C367" s="297">
        <f t="shared" si="68"/>
        <v>25</v>
      </c>
      <c r="D367" s="297">
        <f t="shared" si="72"/>
        <v>0</v>
      </c>
      <c r="E367" s="297">
        <f t="shared" si="73"/>
        <v>2</v>
      </c>
      <c r="F367" s="298">
        <f t="shared" si="74"/>
        <v>3</v>
      </c>
      <c r="G367" s="298">
        <f t="shared" si="75"/>
        <v>2</v>
      </c>
      <c r="H367" s="298">
        <f t="shared" si="76"/>
        <v>3</v>
      </c>
      <c r="I367" s="298">
        <f t="shared" si="77"/>
        <v>4</v>
      </c>
      <c r="J367" s="298">
        <f t="shared" si="78"/>
        <v>7</v>
      </c>
      <c r="K367" s="299">
        <f t="shared" si="79"/>
        <v>132672</v>
      </c>
      <c r="R367" s="497">
        <f t="shared" si="69"/>
        <v>132672</v>
      </c>
      <c r="T367" s="302">
        <f t="shared" si="70"/>
        <v>132672</v>
      </c>
    </row>
    <row r="368" spans="2:20">
      <c r="B368" s="604">
        <f t="shared" si="71"/>
        <v>2264</v>
      </c>
      <c r="C368" s="297">
        <f t="shared" si="68"/>
        <v>25</v>
      </c>
      <c r="D368" s="297">
        <f t="shared" si="72"/>
        <v>0</v>
      </c>
      <c r="E368" s="297">
        <f t="shared" si="73"/>
        <v>3</v>
      </c>
      <c r="F368" s="298">
        <f t="shared" si="74"/>
        <v>0</v>
      </c>
      <c r="G368" s="298">
        <f t="shared" si="75"/>
        <v>3</v>
      </c>
      <c r="H368" s="298">
        <f t="shared" si="76"/>
        <v>22</v>
      </c>
      <c r="I368" s="298">
        <f t="shared" si="77"/>
        <v>4</v>
      </c>
      <c r="J368" s="298">
        <f t="shared" si="78"/>
        <v>26</v>
      </c>
      <c r="K368" s="299">
        <f t="shared" si="79"/>
        <v>133057</v>
      </c>
      <c r="R368" s="497">
        <f t="shared" si="69"/>
        <v>133057</v>
      </c>
      <c r="T368" s="302">
        <f t="shared" si="70"/>
        <v>133057</v>
      </c>
    </row>
    <row r="369" spans="2:20">
      <c r="B369" s="604">
        <f t="shared" si="71"/>
        <v>2265</v>
      </c>
      <c r="C369" s="297">
        <f t="shared" si="68"/>
        <v>25</v>
      </c>
      <c r="D369" s="297">
        <f t="shared" si="72"/>
        <v>0</v>
      </c>
      <c r="E369" s="297">
        <f t="shared" si="73"/>
        <v>4</v>
      </c>
      <c r="F369" s="298">
        <f t="shared" si="74"/>
        <v>1</v>
      </c>
      <c r="G369" s="298">
        <f t="shared" si="75"/>
        <v>4</v>
      </c>
      <c r="H369" s="298">
        <f t="shared" si="76"/>
        <v>11</v>
      </c>
      <c r="I369" s="298">
        <f t="shared" si="77"/>
        <v>0</v>
      </c>
      <c r="J369" s="298">
        <f t="shared" si="78"/>
        <v>11</v>
      </c>
      <c r="K369" s="299">
        <f t="shared" si="79"/>
        <v>133407</v>
      </c>
      <c r="R369" s="497">
        <f t="shared" si="69"/>
        <v>133407</v>
      </c>
      <c r="T369" s="302">
        <f t="shared" si="70"/>
        <v>133407</v>
      </c>
    </row>
    <row r="370" spans="2:20">
      <c r="B370" s="604">
        <f t="shared" si="71"/>
        <v>2266</v>
      </c>
      <c r="C370" s="297">
        <f t="shared" si="68"/>
        <v>25</v>
      </c>
      <c r="D370" s="297">
        <f t="shared" si="72"/>
        <v>0</v>
      </c>
      <c r="E370" s="297">
        <f t="shared" si="73"/>
        <v>5</v>
      </c>
      <c r="F370" s="298">
        <f t="shared" si="74"/>
        <v>2</v>
      </c>
      <c r="G370" s="298">
        <f t="shared" si="75"/>
        <v>5</v>
      </c>
      <c r="H370" s="298">
        <f t="shared" si="76"/>
        <v>0</v>
      </c>
      <c r="I370" s="298">
        <f t="shared" si="77"/>
        <v>3</v>
      </c>
      <c r="J370" s="298">
        <f t="shared" si="78"/>
        <v>3</v>
      </c>
      <c r="K370" s="299">
        <f t="shared" si="79"/>
        <v>133764</v>
      </c>
      <c r="R370" s="497">
        <f t="shared" si="69"/>
        <v>133764</v>
      </c>
      <c r="T370" s="302">
        <f t="shared" si="70"/>
        <v>133792</v>
      </c>
    </row>
    <row r="371" spans="2:20">
      <c r="B371" s="604">
        <f t="shared" si="71"/>
        <v>2267</v>
      </c>
      <c r="C371" s="297">
        <f t="shared" si="68"/>
        <v>25</v>
      </c>
      <c r="D371" s="297">
        <f t="shared" si="72"/>
        <v>0</v>
      </c>
      <c r="E371" s="297">
        <f t="shared" si="73"/>
        <v>6</v>
      </c>
      <c r="F371" s="298">
        <f t="shared" si="74"/>
        <v>3</v>
      </c>
      <c r="G371" s="298">
        <f t="shared" si="75"/>
        <v>6</v>
      </c>
      <c r="H371" s="298">
        <f t="shared" si="76"/>
        <v>19</v>
      </c>
      <c r="I371" s="298">
        <f t="shared" si="77"/>
        <v>4</v>
      </c>
      <c r="J371" s="298">
        <f t="shared" si="78"/>
        <v>23</v>
      </c>
      <c r="K371" s="299">
        <f t="shared" si="79"/>
        <v>134149</v>
      </c>
      <c r="R371" s="497">
        <f t="shared" si="69"/>
        <v>134149</v>
      </c>
      <c r="T371" s="302">
        <f t="shared" si="70"/>
        <v>134149</v>
      </c>
    </row>
    <row r="372" spans="2:20">
      <c r="B372" s="604">
        <f t="shared" si="71"/>
        <v>2268</v>
      </c>
      <c r="C372" s="297">
        <f t="shared" si="68"/>
        <v>25</v>
      </c>
      <c r="D372" s="297">
        <f t="shared" si="72"/>
        <v>0</v>
      </c>
      <c r="E372" s="297">
        <f t="shared" si="73"/>
        <v>7</v>
      </c>
      <c r="F372" s="298">
        <f t="shared" si="74"/>
        <v>0</v>
      </c>
      <c r="G372" s="298">
        <f t="shared" si="75"/>
        <v>0</v>
      </c>
      <c r="H372" s="298">
        <f t="shared" si="76"/>
        <v>8</v>
      </c>
      <c r="I372" s="298">
        <f t="shared" si="77"/>
        <v>6</v>
      </c>
      <c r="J372" s="298">
        <f t="shared" si="78"/>
        <v>14</v>
      </c>
      <c r="K372" s="299">
        <f t="shared" si="79"/>
        <v>134506</v>
      </c>
      <c r="R372" s="497">
        <f t="shared" si="69"/>
        <v>134506</v>
      </c>
      <c r="T372" s="302">
        <f t="shared" si="70"/>
        <v>134499</v>
      </c>
    </row>
    <row r="373" spans="2:20">
      <c r="B373" s="604">
        <f t="shared" si="71"/>
        <v>2269</v>
      </c>
      <c r="C373" s="297">
        <f t="shared" si="68"/>
        <v>25</v>
      </c>
      <c r="D373" s="297">
        <f t="shared" si="72"/>
        <v>0</v>
      </c>
      <c r="E373" s="297">
        <f t="shared" si="73"/>
        <v>8</v>
      </c>
      <c r="F373" s="298">
        <f t="shared" si="74"/>
        <v>1</v>
      </c>
      <c r="G373" s="298">
        <f t="shared" si="75"/>
        <v>1</v>
      </c>
      <c r="H373" s="298">
        <f t="shared" si="76"/>
        <v>27</v>
      </c>
      <c r="I373" s="298">
        <f t="shared" si="77"/>
        <v>0</v>
      </c>
      <c r="J373" s="298">
        <f t="shared" si="78"/>
        <v>27</v>
      </c>
      <c r="K373" s="299">
        <f t="shared" si="79"/>
        <v>134884</v>
      </c>
      <c r="R373" s="497">
        <f t="shared" si="69"/>
        <v>134884</v>
      </c>
      <c r="T373" s="302">
        <f t="shared" si="70"/>
        <v>134884</v>
      </c>
    </row>
    <row r="374" spans="2:20">
      <c r="B374" s="604">
        <f t="shared" si="71"/>
        <v>2270</v>
      </c>
      <c r="C374" s="297">
        <f t="shared" si="68"/>
        <v>25</v>
      </c>
      <c r="D374" s="297">
        <f t="shared" si="72"/>
        <v>0</v>
      </c>
      <c r="E374" s="297">
        <f t="shared" si="73"/>
        <v>9</v>
      </c>
      <c r="F374" s="298">
        <f t="shared" si="74"/>
        <v>2</v>
      </c>
      <c r="G374" s="298">
        <f t="shared" si="75"/>
        <v>2</v>
      </c>
      <c r="H374" s="298">
        <f t="shared" si="76"/>
        <v>16</v>
      </c>
      <c r="I374" s="298">
        <f t="shared" si="77"/>
        <v>3</v>
      </c>
      <c r="J374" s="298">
        <f t="shared" si="78"/>
        <v>19</v>
      </c>
      <c r="K374" s="299">
        <f t="shared" si="79"/>
        <v>135241</v>
      </c>
      <c r="R374" s="497">
        <f t="shared" si="69"/>
        <v>135241</v>
      </c>
      <c r="T374" s="302">
        <f t="shared" si="70"/>
        <v>135241</v>
      </c>
    </row>
    <row r="375" spans="2:20">
      <c r="B375" s="604">
        <f t="shared" si="71"/>
        <v>2271</v>
      </c>
      <c r="C375" s="297">
        <f t="shared" si="68"/>
        <v>25</v>
      </c>
      <c r="D375" s="297">
        <f t="shared" si="72"/>
        <v>0</v>
      </c>
      <c r="E375" s="297">
        <f t="shared" si="73"/>
        <v>10</v>
      </c>
      <c r="F375" s="298">
        <f t="shared" si="74"/>
        <v>3</v>
      </c>
      <c r="G375" s="298">
        <f t="shared" si="75"/>
        <v>3</v>
      </c>
      <c r="H375" s="298">
        <f t="shared" si="76"/>
        <v>5</v>
      </c>
      <c r="I375" s="298">
        <f t="shared" si="77"/>
        <v>6</v>
      </c>
      <c r="J375" s="298">
        <f t="shared" si="78"/>
        <v>11</v>
      </c>
      <c r="K375" s="299">
        <f t="shared" si="79"/>
        <v>135598</v>
      </c>
      <c r="R375" s="497">
        <f t="shared" si="69"/>
        <v>135598</v>
      </c>
      <c r="T375" s="302">
        <f t="shared" si="70"/>
        <v>135591</v>
      </c>
    </row>
    <row r="376" spans="2:20">
      <c r="B376" s="604">
        <f t="shared" si="71"/>
        <v>2272</v>
      </c>
      <c r="C376" s="297">
        <f t="shared" si="68"/>
        <v>25</v>
      </c>
      <c r="D376" s="297">
        <f t="shared" si="72"/>
        <v>0</v>
      </c>
      <c r="E376" s="297">
        <f t="shared" si="73"/>
        <v>11</v>
      </c>
      <c r="F376" s="298">
        <f t="shared" si="74"/>
        <v>0</v>
      </c>
      <c r="G376" s="298">
        <f t="shared" si="75"/>
        <v>4</v>
      </c>
      <c r="H376" s="298">
        <f t="shared" si="76"/>
        <v>24</v>
      </c>
      <c r="I376" s="298">
        <f t="shared" si="77"/>
        <v>6</v>
      </c>
      <c r="J376" s="298">
        <f t="shared" si="78"/>
        <v>30</v>
      </c>
      <c r="K376" s="299">
        <f t="shared" si="79"/>
        <v>135983</v>
      </c>
      <c r="R376" s="497">
        <f t="shared" si="69"/>
        <v>135983</v>
      </c>
      <c r="T376" s="302">
        <f t="shared" si="70"/>
        <v>135976</v>
      </c>
    </row>
    <row r="377" spans="2:20">
      <c r="B377" s="604">
        <f t="shared" si="71"/>
        <v>2273</v>
      </c>
      <c r="C377" s="297">
        <f t="shared" si="68"/>
        <v>25</v>
      </c>
      <c r="D377" s="297">
        <f t="shared" si="72"/>
        <v>0</v>
      </c>
      <c r="E377" s="297">
        <f t="shared" si="73"/>
        <v>12</v>
      </c>
      <c r="F377" s="298">
        <f t="shared" si="74"/>
        <v>1</v>
      </c>
      <c r="G377" s="298">
        <f t="shared" si="75"/>
        <v>5</v>
      </c>
      <c r="H377" s="298">
        <f t="shared" si="76"/>
        <v>13</v>
      </c>
      <c r="I377" s="298">
        <f t="shared" si="77"/>
        <v>2</v>
      </c>
      <c r="J377" s="298">
        <f t="shared" si="78"/>
        <v>15</v>
      </c>
      <c r="K377" s="299">
        <f t="shared" si="79"/>
        <v>136333</v>
      </c>
      <c r="R377" s="497">
        <f t="shared" si="69"/>
        <v>136333</v>
      </c>
      <c r="T377" s="302">
        <f t="shared" si="70"/>
        <v>136333</v>
      </c>
    </row>
    <row r="378" spans="2:20">
      <c r="B378" s="604">
        <f t="shared" si="71"/>
        <v>2274</v>
      </c>
      <c r="C378" s="297">
        <f t="shared" si="68"/>
        <v>25</v>
      </c>
      <c r="D378" s="297">
        <f t="shared" si="72"/>
        <v>0</v>
      </c>
      <c r="E378" s="297">
        <f t="shared" si="73"/>
        <v>13</v>
      </c>
      <c r="F378" s="298">
        <f t="shared" si="74"/>
        <v>2</v>
      </c>
      <c r="G378" s="298">
        <f t="shared" si="75"/>
        <v>6</v>
      </c>
      <c r="H378" s="298">
        <f t="shared" si="76"/>
        <v>2</v>
      </c>
      <c r="I378" s="298">
        <f t="shared" si="77"/>
        <v>5</v>
      </c>
      <c r="J378" s="298">
        <f t="shared" si="78"/>
        <v>7</v>
      </c>
      <c r="K378" s="299">
        <f t="shared" si="79"/>
        <v>136690</v>
      </c>
      <c r="R378" s="497">
        <f t="shared" si="69"/>
        <v>136690</v>
      </c>
      <c r="T378" s="302">
        <f t="shared" si="70"/>
        <v>136690</v>
      </c>
    </row>
    <row r="379" spans="2:20">
      <c r="B379" s="604">
        <f t="shared" si="71"/>
        <v>2275</v>
      </c>
      <c r="C379" s="297">
        <f t="shared" si="68"/>
        <v>25</v>
      </c>
      <c r="D379" s="297">
        <f t="shared" si="72"/>
        <v>0</v>
      </c>
      <c r="E379" s="297">
        <f t="shared" si="73"/>
        <v>14</v>
      </c>
      <c r="F379" s="298">
        <f t="shared" si="74"/>
        <v>3</v>
      </c>
      <c r="G379" s="298">
        <f t="shared" si="75"/>
        <v>0</v>
      </c>
      <c r="H379" s="298">
        <f t="shared" si="76"/>
        <v>21</v>
      </c>
      <c r="I379" s="298">
        <f t="shared" si="77"/>
        <v>6</v>
      </c>
      <c r="J379" s="298">
        <f t="shared" si="78"/>
        <v>27</v>
      </c>
      <c r="K379" s="299">
        <f t="shared" si="79"/>
        <v>137075</v>
      </c>
      <c r="R379" s="497">
        <f t="shared" si="69"/>
        <v>137075</v>
      </c>
      <c r="T379" s="302">
        <f t="shared" si="70"/>
        <v>137068</v>
      </c>
    </row>
    <row r="380" spans="2:20">
      <c r="B380" s="604">
        <f t="shared" si="71"/>
        <v>2276</v>
      </c>
      <c r="C380" s="297">
        <f t="shared" si="68"/>
        <v>25</v>
      </c>
      <c r="D380" s="297">
        <f t="shared" si="72"/>
        <v>0</v>
      </c>
      <c r="E380" s="297">
        <f t="shared" si="73"/>
        <v>15</v>
      </c>
      <c r="F380" s="298">
        <f t="shared" si="74"/>
        <v>0</v>
      </c>
      <c r="G380" s="298">
        <f t="shared" si="75"/>
        <v>1</v>
      </c>
      <c r="H380" s="298">
        <f t="shared" si="76"/>
        <v>10</v>
      </c>
      <c r="I380" s="298">
        <f t="shared" si="77"/>
        <v>1</v>
      </c>
      <c r="J380" s="298">
        <f t="shared" si="78"/>
        <v>11</v>
      </c>
      <c r="K380" s="299">
        <f t="shared" si="79"/>
        <v>137425</v>
      </c>
      <c r="R380" s="497">
        <f t="shared" si="69"/>
        <v>137425</v>
      </c>
      <c r="T380" s="302">
        <f t="shared" si="70"/>
        <v>137425</v>
      </c>
    </row>
    <row r="381" spans="2:20">
      <c r="B381" s="604">
        <f t="shared" si="71"/>
        <v>2277</v>
      </c>
      <c r="C381" s="297">
        <f t="shared" si="68"/>
        <v>25</v>
      </c>
      <c r="D381" s="297">
        <f t="shared" si="72"/>
        <v>0</v>
      </c>
      <c r="E381" s="297">
        <f t="shared" si="73"/>
        <v>16</v>
      </c>
      <c r="F381" s="298">
        <f t="shared" si="74"/>
        <v>1</v>
      </c>
      <c r="G381" s="298">
        <f t="shared" si="75"/>
        <v>2</v>
      </c>
      <c r="H381" s="298">
        <f t="shared" si="76"/>
        <v>29</v>
      </c>
      <c r="I381" s="298">
        <f t="shared" si="77"/>
        <v>2</v>
      </c>
      <c r="J381" s="298">
        <f t="shared" si="78"/>
        <v>31</v>
      </c>
      <c r="K381" s="299">
        <f t="shared" si="79"/>
        <v>137810</v>
      </c>
      <c r="R381" s="497">
        <f t="shared" si="69"/>
        <v>137810</v>
      </c>
      <c r="T381" s="302">
        <f t="shared" si="70"/>
        <v>137810</v>
      </c>
    </row>
    <row r="382" spans="2:20">
      <c r="B382" s="604">
        <f t="shared" si="71"/>
        <v>2278</v>
      </c>
      <c r="C382" s="297">
        <f t="shared" si="68"/>
        <v>25</v>
      </c>
      <c r="D382" s="297">
        <f t="shared" si="72"/>
        <v>0</v>
      </c>
      <c r="E382" s="297">
        <f t="shared" si="73"/>
        <v>17</v>
      </c>
      <c r="F382" s="298">
        <f t="shared" si="74"/>
        <v>2</v>
      </c>
      <c r="G382" s="298">
        <f t="shared" si="75"/>
        <v>3</v>
      </c>
      <c r="H382" s="298">
        <f t="shared" si="76"/>
        <v>18</v>
      </c>
      <c r="I382" s="298">
        <f t="shared" si="77"/>
        <v>5</v>
      </c>
      <c r="J382" s="298">
        <f t="shared" si="78"/>
        <v>23</v>
      </c>
      <c r="K382" s="299">
        <f t="shared" si="79"/>
        <v>138167</v>
      </c>
      <c r="R382" s="497">
        <f t="shared" si="69"/>
        <v>138167</v>
      </c>
      <c r="T382" s="302">
        <f t="shared" si="70"/>
        <v>138167</v>
      </c>
    </row>
    <row r="383" spans="2:20">
      <c r="B383" s="604">
        <f t="shared" si="71"/>
        <v>2279</v>
      </c>
      <c r="C383" s="297">
        <f t="shared" si="68"/>
        <v>25</v>
      </c>
      <c r="D383" s="297">
        <f t="shared" si="72"/>
        <v>0</v>
      </c>
      <c r="E383" s="297">
        <f t="shared" si="73"/>
        <v>18</v>
      </c>
      <c r="F383" s="298">
        <f t="shared" si="74"/>
        <v>3</v>
      </c>
      <c r="G383" s="298">
        <f t="shared" si="75"/>
        <v>4</v>
      </c>
      <c r="H383" s="298">
        <f t="shared" si="76"/>
        <v>7</v>
      </c>
      <c r="I383" s="298">
        <f t="shared" si="77"/>
        <v>1</v>
      </c>
      <c r="J383" s="298">
        <f t="shared" si="78"/>
        <v>8</v>
      </c>
      <c r="K383" s="299">
        <f t="shared" si="79"/>
        <v>138517</v>
      </c>
      <c r="R383" s="497">
        <f t="shared" si="69"/>
        <v>138517</v>
      </c>
      <c r="T383" s="302">
        <f t="shared" si="70"/>
        <v>138517</v>
      </c>
    </row>
    <row r="384" spans="2:20">
      <c r="B384" s="604">
        <f t="shared" si="71"/>
        <v>2280</v>
      </c>
      <c r="C384" s="297">
        <f t="shared" si="68"/>
        <v>25</v>
      </c>
      <c r="D384" s="297">
        <f t="shared" si="72"/>
        <v>0</v>
      </c>
      <c r="E384" s="297">
        <f t="shared" si="73"/>
        <v>0</v>
      </c>
      <c r="F384" s="298">
        <f t="shared" si="74"/>
        <v>0</v>
      </c>
      <c r="G384" s="298">
        <f t="shared" si="75"/>
        <v>5</v>
      </c>
      <c r="H384" s="298">
        <f t="shared" si="76"/>
        <v>25</v>
      </c>
      <c r="I384" s="298">
        <f t="shared" si="77"/>
        <v>2</v>
      </c>
      <c r="J384" s="298">
        <f t="shared" si="78"/>
        <v>27</v>
      </c>
      <c r="K384" s="299">
        <f t="shared" si="79"/>
        <v>138902</v>
      </c>
      <c r="R384" s="497">
        <f t="shared" si="69"/>
        <v>138902</v>
      </c>
      <c r="T384" s="302">
        <f t="shared" si="70"/>
        <v>138902</v>
      </c>
    </row>
    <row r="385" spans="2:20">
      <c r="B385" s="604">
        <f t="shared" si="71"/>
        <v>2281</v>
      </c>
      <c r="C385" s="297">
        <f t="shared" si="68"/>
        <v>25</v>
      </c>
      <c r="D385" s="297">
        <f t="shared" si="72"/>
        <v>0</v>
      </c>
      <c r="E385" s="297">
        <f t="shared" si="73"/>
        <v>1</v>
      </c>
      <c r="F385" s="298">
        <f t="shared" si="74"/>
        <v>1</v>
      </c>
      <c r="G385" s="298">
        <f t="shared" si="75"/>
        <v>6</v>
      </c>
      <c r="H385" s="298">
        <f t="shared" si="76"/>
        <v>14</v>
      </c>
      <c r="I385" s="298">
        <f t="shared" si="77"/>
        <v>5</v>
      </c>
      <c r="J385" s="298">
        <f t="shared" si="78"/>
        <v>19</v>
      </c>
      <c r="K385" s="299">
        <f t="shared" si="79"/>
        <v>139259</v>
      </c>
      <c r="R385" s="497">
        <f t="shared" si="69"/>
        <v>139259</v>
      </c>
      <c r="T385" s="302">
        <f t="shared" si="70"/>
        <v>139259</v>
      </c>
    </row>
    <row r="386" spans="2:20">
      <c r="B386" s="604">
        <f t="shared" si="71"/>
        <v>2282</v>
      </c>
      <c r="C386" s="297">
        <f t="shared" si="68"/>
        <v>25</v>
      </c>
      <c r="D386" s="297">
        <f t="shared" si="72"/>
        <v>0</v>
      </c>
      <c r="E386" s="297">
        <f t="shared" si="73"/>
        <v>2</v>
      </c>
      <c r="F386" s="298">
        <f t="shared" si="74"/>
        <v>2</v>
      </c>
      <c r="G386" s="298">
        <f t="shared" si="75"/>
        <v>0</v>
      </c>
      <c r="H386" s="298">
        <f t="shared" si="76"/>
        <v>3</v>
      </c>
      <c r="I386" s="298">
        <f t="shared" si="77"/>
        <v>1</v>
      </c>
      <c r="J386" s="298">
        <f t="shared" si="78"/>
        <v>4</v>
      </c>
      <c r="K386" s="299">
        <f t="shared" si="79"/>
        <v>139609</v>
      </c>
      <c r="R386" s="497">
        <f t="shared" si="69"/>
        <v>139609</v>
      </c>
      <c r="T386" s="302">
        <f t="shared" si="70"/>
        <v>139609</v>
      </c>
    </row>
    <row r="387" spans="2:20">
      <c r="B387" s="604">
        <f t="shared" si="71"/>
        <v>2283</v>
      </c>
      <c r="C387" s="297">
        <f t="shared" si="68"/>
        <v>25</v>
      </c>
      <c r="D387" s="297">
        <f t="shared" si="72"/>
        <v>0</v>
      </c>
      <c r="E387" s="297">
        <f t="shared" si="73"/>
        <v>3</v>
      </c>
      <c r="F387" s="298">
        <f t="shared" si="74"/>
        <v>3</v>
      </c>
      <c r="G387" s="298">
        <f t="shared" si="75"/>
        <v>1</v>
      </c>
      <c r="H387" s="298">
        <f t="shared" si="76"/>
        <v>22</v>
      </c>
      <c r="I387" s="298">
        <f t="shared" si="77"/>
        <v>2</v>
      </c>
      <c r="J387" s="298">
        <f t="shared" si="78"/>
        <v>24</v>
      </c>
      <c r="K387" s="299">
        <f t="shared" si="79"/>
        <v>139994</v>
      </c>
      <c r="R387" s="497">
        <f t="shared" si="69"/>
        <v>139994</v>
      </c>
      <c r="T387" s="302">
        <f t="shared" si="70"/>
        <v>139994</v>
      </c>
    </row>
    <row r="388" spans="2:20">
      <c r="B388" s="604">
        <f t="shared" si="71"/>
        <v>2284</v>
      </c>
      <c r="C388" s="297">
        <f t="shared" si="68"/>
        <v>25</v>
      </c>
      <c r="D388" s="297">
        <f t="shared" si="72"/>
        <v>0</v>
      </c>
      <c r="E388" s="297">
        <f t="shared" si="73"/>
        <v>4</v>
      </c>
      <c r="F388" s="298">
        <f t="shared" si="74"/>
        <v>0</v>
      </c>
      <c r="G388" s="298">
        <f t="shared" si="75"/>
        <v>2</v>
      </c>
      <c r="H388" s="298">
        <f t="shared" si="76"/>
        <v>11</v>
      </c>
      <c r="I388" s="298">
        <f t="shared" si="77"/>
        <v>4</v>
      </c>
      <c r="J388" s="298">
        <f t="shared" si="78"/>
        <v>15</v>
      </c>
      <c r="K388" s="299">
        <f t="shared" si="79"/>
        <v>140351</v>
      </c>
      <c r="R388" s="497">
        <f t="shared" si="69"/>
        <v>140351</v>
      </c>
      <c r="T388" s="302">
        <f t="shared" si="70"/>
        <v>140351</v>
      </c>
    </row>
    <row r="389" spans="2:20">
      <c r="B389" s="604">
        <f t="shared" si="71"/>
        <v>2285</v>
      </c>
      <c r="C389" s="297">
        <f t="shared" ref="C389:C452" si="80">VLOOKUP(B389,$M$4:$P$86,3,TRUE)</f>
        <v>25</v>
      </c>
      <c r="D389" s="297">
        <f t="shared" si="72"/>
        <v>0</v>
      </c>
      <c r="E389" s="297">
        <f t="shared" si="73"/>
        <v>5</v>
      </c>
      <c r="F389" s="298">
        <f t="shared" si="74"/>
        <v>1</v>
      </c>
      <c r="G389" s="298">
        <f t="shared" si="75"/>
        <v>3</v>
      </c>
      <c r="H389" s="298">
        <f t="shared" si="76"/>
        <v>0</v>
      </c>
      <c r="I389" s="298">
        <f t="shared" si="77"/>
        <v>0</v>
      </c>
      <c r="J389" s="298">
        <f t="shared" si="78"/>
        <v>0</v>
      </c>
      <c r="K389" s="299">
        <f t="shared" si="79"/>
        <v>140701</v>
      </c>
      <c r="R389" s="497">
        <f t="shared" ref="R389:R452" si="81">IF(MOD(19*MOD(B389,19)+C389,30)+MOD(2*MOD(B389,4)+4*MOD(B389,7)+6*MOD(19*MOD(B389,19)+C389,30)+D389,7)-9&lt;=0,DATE(B389,3,22+MOD(19*MOD(B389,19)+C389,30)+MOD(2*MOD(B389,4)+4*MOD(B389,7)+6*MOD(19*MOD(B389,19)+C389,30)+D389,7)),DATE(B389,4,MOD(19*MOD(B389,19)+C389,30)+MOD(2*MOD(B389,4)+4*MOD(B389,7)+6*MOD(19*MOD(B389,19)+C389,30)+D389,7)-9))</f>
        <v>140701</v>
      </c>
      <c r="T389" s="302">
        <f t="shared" ref="T389:T452" si="82">DOLLAR(("4/"&amp;B389)/7+MOD(19*MOD(B389,19)-7,30)*14%,)*7-6</f>
        <v>140729</v>
      </c>
    </row>
    <row r="390" spans="2:20">
      <c r="B390" s="604">
        <f t="shared" ref="B390:B453" si="83">B389+1</f>
        <v>2286</v>
      </c>
      <c r="C390" s="297">
        <f t="shared" si="80"/>
        <v>25</v>
      </c>
      <c r="D390" s="297">
        <f t="shared" si="72"/>
        <v>0</v>
      </c>
      <c r="E390" s="297">
        <f t="shared" si="73"/>
        <v>6</v>
      </c>
      <c r="F390" s="298">
        <f t="shared" si="74"/>
        <v>2</v>
      </c>
      <c r="G390" s="298">
        <f t="shared" si="75"/>
        <v>4</v>
      </c>
      <c r="H390" s="298">
        <f t="shared" si="76"/>
        <v>19</v>
      </c>
      <c r="I390" s="298">
        <f t="shared" si="77"/>
        <v>1</v>
      </c>
      <c r="J390" s="298">
        <f t="shared" si="78"/>
        <v>20</v>
      </c>
      <c r="K390" s="299">
        <f t="shared" si="79"/>
        <v>141086</v>
      </c>
      <c r="R390" s="497">
        <f t="shared" si="81"/>
        <v>141086</v>
      </c>
      <c r="T390" s="302">
        <f t="shared" si="82"/>
        <v>141086</v>
      </c>
    </row>
    <row r="391" spans="2:20">
      <c r="B391" s="604">
        <f t="shared" si="83"/>
        <v>2287</v>
      </c>
      <c r="C391" s="297">
        <f t="shared" si="80"/>
        <v>25</v>
      </c>
      <c r="D391" s="297">
        <f t="shared" si="72"/>
        <v>0</v>
      </c>
      <c r="E391" s="297">
        <f t="shared" si="73"/>
        <v>7</v>
      </c>
      <c r="F391" s="298">
        <f t="shared" si="74"/>
        <v>3</v>
      </c>
      <c r="G391" s="298">
        <f t="shared" si="75"/>
        <v>5</v>
      </c>
      <c r="H391" s="298">
        <f t="shared" si="76"/>
        <v>8</v>
      </c>
      <c r="I391" s="298">
        <f t="shared" si="77"/>
        <v>4</v>
      </c>
      <c r="J391" s="298">
        <f t="shared" si="78"/>
        <v>12</v>
      </c>
      <c r="K391" s="299">
        <f t="shared" si="79"/>
        <v>141443</v>
      </c>
      <c r="R391" s="497">
        <f t="shared" si="81"/>
        <v>141443</v>
      </c>
      <c r="T391" s="302">
        <f t="shared" si="82"/>
        <v>141443</v>
      </c>
    </row>
    <row r="392" spans="2:20">
      <c r="B392" s="604">
        <f t="shared" si="83"/>
        <v>2288</v>
      </c>
      <c r="C392" s="297">
        <f t="shared" si="80"/>
        <v>25</v>
      </c>
      <c r="D392" s="297">
        <f t="shared" si="72"/>
        <v>0</v>
      </c>
      <c r="E392" s="297">
        <f t="shared" si="73"/>
        <v>8</v>
      </c>
      <c r="F392" s="298">
        <f t="shared" si="74"/>
        <v>0</v>
      </c>
      <c r="G392" s="298">
        <f t="shared" si="75"/>
        <v>6</v>
      </c>
      <c r="H392" s="298">
        <f t="shared" si="76"/>
        <v>27</v>
      </c>
      <c r="I392" s="298">
        <f t="shared" si="77"/>
        <v>4</v>
      </c>
      <c r="J392" s="298">
        <f t="shared" si="78"/>
        <v>31</v>
      </c>
      <c r="K392" s="299">
        <f t="shared" si="79"/>
        <v>141828</v>
      </c>
      <c r="R392" s="497">
        <f t="shared" si="81"/>
        <v>141828</v>
      </c>
      <c r="T392" s="302">
        <f t="shared" si="82"/>
        <v>141828</v>
      </c>
    </row>
    <row r="393" spans="2:20">
      <c r="B393" s="604">
        <f t="shared" si="83"/>
        <v>2289</v>
      </c>
      <c r="C393" s="297">
        <f t="shared" si="80"/>
        <v>25</v>
      </c>
      <c r="D393" s="297">
        <f t="shared" si="72"/>
        <v>0</v>
      </c>
      <c r="E393" s="297">
        <f t="shared" si="73"/>
        <v>9</v>
      </c>
      <c r="F393" s="298">
        <f t="shared" si="74"/>
        <v>1</v>
      </c>
      <c r="G393" s="298">
        <f t="shared" si="75"/>
        <v>0</v>
      </c>
      <c r="H393" s="298">
        <f t="shared" si="76"/>
        <v>16</v>
      </c>
      <c r="I393" s="298">
        <f t="shared" si="77"/>
        <v>0</v>
      </c>
      <c r="J393" s="298">
        <f t="shared" si="78"/>
        <v>16</v>
      </c>
      <c r="K393" s="299">
        <f t="shared" si="79"/>
        <v>142178</v>
      </c>
      <c r="R393" s="497">
        <f t="shared" si="81"/>
        <v>142178</v>
      </c>
      <c r="T393" s="302">
        <f t="shared" si="82"/>
        <v>142178</v>
      </c>
    </row>
    <row r="394" spans="2:20">
      <c r="B394" s="604">
        <f t="shared" si="83"/>
        <v>2290</v>
      </c>
      <c r="C394" s="297">
        <f t="shared" si="80"/>
        <v>25</v>
      </c>
      <c r="D394" s="297">
        <f t="shared" ref="D394:D457" si="84">VLOOKUP(B394,$M$4:$P$86,4,TRUE)</f>
        <v>0</v>
      </c>
      <c r="E394" s="297">
        <f t="shared" ref="E394:E457" si="85">MOD(B394,19)</f>
        <v>10</v>
      </c>
      <c r="F394" s="298">
        <f t="shared" ref="F394:F457" si="86">MOD(B394,4)</f>
        <v>2</v>
      </c>
      <c r="G394" s="298">
        <f t="shared" ref="G394:G457" si="87">MOD(B394,7)</f>
        <v>1</v>
      </c>
      <c r="H394" s="298">
        <f t="shared" ref="H394:H457" si="88">MOD(19*E394+C394,30)</f>
        <v>5</v>
      </c>
      <c r="I394" s="298">
        <f t="shared" ref="I394:I457" si="89">MOD(2*F394+4*G394+6*H394+D394,7)</f>
        <v>3</v>
      </c>
      <c r="J394" s="298">
        <f t="shared" ref="J394:J457" si="90">H394+I394</f>
        <v>8</v>
      </c>
      <c r="K394" s="299">
        <f t="shared" ref="K394:K457" si="91">IF(J394&lt;10,DATE(B394,3,J394+22),IF(J394-9=26,DATE(B394,4,19),IF(AND(J394-9=25,H394=28,I394=6,E394&gt;10),DATE(B394,4,18),DATE(B394,4,J394-9))))</f>
        <v>142535</v>
      </c>
      <c r="R394" s="497">
        <f t="shared" si="81"/>
        <v>142535</v>
      </c>
      <c r="T394" s="302">
        <f t="shared" si="82"/>
        <v>142535</v>
      </c>
    </row>
    <row r="395" spans="2:20">
      <c r="B395" s="604">
        <f t="shared" si="83"/>
        <v>2291</v>
      </c>
      <c r="C395" s="297">
        <f t="shared" si="80"/>
        <v>25</v>
      </c>
      <c r="D395" s="297">
        <f t="shared" si="84"/>
        <v>0</v>
      </c>
      <c r="E395" s="297">
        <f t="shared" si="85"/>
        <v>11</v>
      </c>
      <c r="F395" s="298">
        <f t="shared" si="86"/>
        <v>3</v>
      </c>
      <c r="G395" s="298">
        <f t="shared" si="87"/>
        <v>2</v>
      </c>
      <c r="H395" s="298">
        <f t="shared" si="88"/>
        <v>24</v>
      </c>
      <c r="I395" s="298">
        <f t="shared" si="89"/>
        <v>4</v>
      </c>
      <c r="J395" s="298">
        <f t="shared" si="90"/>
        <v>28</v>
      </c>
      <c r="K395" s="299">
        <f t="shared" si="91"/>
        <v>142920</v>
      </c>
      <c r="R395" s="497">
        <f t="shared" si="81"/>
        <v>142920</v>
      </c>
      <c r="T395" s="302">
        <f t="shared" si="82"/>
        <v>142920</v>
      </c>
    </row>
    <row r="396" spans="2:20">
      <c r="B396" s="604">
        <f t="shared" si="83"/>
        <v>2292</v>
      </c>
      <c r="C396" s="297">
        <f t="shared" si="80"/>
        <v>25</v>
      </c>
      <c r="D396" s="297">
        <f t="shared" si="84"/>
        <v>0</v>
      </c>
      <c r="E396" s="297">
        <f t="shared" si="85"/>
        <v>12</v>
      </c>
      <c r="F396" s="298">
        <f t="shared" si="86"/>
        <v>0</v>
      </c>
      <c r="G396" s="298">
        <f t="shared" si="87"/>
        <v>3</v>
      </c>
      <c r="H396" s="298">
        <f t="shared" si="88"/>
        <v>13</v>
      </c>
      <c r="I396" s="298">
        <f t="shared" si="89"/>
        <v>6</v>
      </c>
      <c r="J396" s="298">
        <f t="shared" si="90"/>
        <v>19</v>
      </c>
      <c r="K396" s="299">
        <f t="shared" si="91"/>
        <v>143277</v>
      </c>
      <c r="R396" s="497">
        <f t="shared" si="81"/>
        <v>143277</v>
      </c>
      <c r="T396" s="302">
        <f t="shared" si="82"/>
        <v>143270</v>
      </c>
    </row>
    <row r="397" spans="2:20">
      <c r="B397" s="604">
        <f t="shared" si="83"/>
        <v>2293</v>
      </c>
      <c r="C397" s="297">
        <f t="shared" si="80"/>
        <v>25</v>
      </c>
      <c r="D397" s="297">
        <f t="shared" si="84"/>
        <v>0</v>
      </c>
      <c r="E397" s="297">
        <f t="shared" si="85"/>
        <v>13</v>
      </c>
      <c r="F397" s="298">
        <f t="shared" si="86"/>
        <v>1</v>
      </c>
      <c r="G397" s="298">
        <f t="shared" si="87"/>
        <v>4</v>
      </c>
      <c r="H397" s="298">
        <f t="shared" si="88"/>
        <v>2</v>
      </c>
      <c r="I397" s="298">
        <f t="shared" si="89"/>
        <v>2</v>
      </c>
      <c r="J397" s="298">
        <f t="shared" si="90"/>
        <v>4</v>
      </c>
      <c r="K397" s="299">
        <f t="shared" si="91"/>
        <v>143627</v>
      </c>
      <c r="R397" s="497">
        <f t="shared" si="81"/>
        <v>143627</v>
      </c>
      <c r="T397" s="302">
        <f t="shared" si="82"/>
        <v>143627</v>
      </c>
    </row>
    <row r="398" spans="2:20">
      <c r="B398" s="604">
        <f t="shared" si="83"/>
        <v>2294</v>
      </c>
      <c r="C398" s="297">
        <f t="shared" si="80"/>
        <v>25</v>
      </c>
      <c r="D398" s="297">
        <f t="shared" si="84"/>
        <v>0</v>
      </c>
      <c r="E398" s="297">
        <f t="shared" si="85"/>
        <v>14</v>
      </c>
      <c r="F398" s="298">
        <f t="shared" si="86"/>
        <v>2</v>
      </c>
      <c r="G398" s="298">
        <f t="shared" si="87"/>
        <v>5</v>
      </c>
      <c r="H398" s="298">
        <f t="shared" si="88"/>
        <v>21</v>
      </c>
      <c r="I398" s="298">
        <f t="shared" si="89"/>
        <v>3</v>
      </c>
      <c r="J398" s="298">
        <f t="shared" si="90"/>
        <v>24</v>
      </c>
      <c r="K398" s="299">
        <f t="shared" si="91"/>
        <v>144012</v>
      </c>
      <c r="R398" s="497">
        <f t="shared" si="81"/>
        <v>144012</v>
      </c>
      <c r="T398" s="302">
        <f t="shared" si="82"/>
        <v>144012</v>
      </c>
    </row>
    <row r="399" spans="2:20">
      <c r="B399" s="604">
        <f t="shared" si="83"/>
        <v>2295</v>
      </c>
      <c r="C399" s="297">
        <f t="shared" si="80"/>
        <v>25</v>
      </c>
      <c r="D399" s="297">
        <f t="shared" si="84"/>
        <v>0</v>
      </c>
      <c r="E399" s="297">
        <f t="shared" si="85"/>
        <v>15</v>
      </c>
      <c r="F399" s="298">
        <f t="shared" si="86"/>
        <v>3</v>
      </c>
      <c r="G399" s="298">
        <f t="shared" si="87"/>
        <v>6</v>
      </c>
      <c r="H399" s="298">
        <f t="shared" si="88"/>
        <v>10</v>
      </c>
      <c r="I399" s="298">
        <f t="shared" si="89"/>
        <v>6</v>
      </c>
      <c r="J399" s="298">
        <f t="shared" si="90"/>
        <v>16</v>
      </c>
      <c r="K399" s="299">
        <f t="shared" si="91"/>
        <v>144369</v>
      </c>
      <c r="R399" s="497">
        <f t="shared" si="81"/>
        <v>144369</v>
      </c>
      <c r="T399" s="302">
        <f t="shared" si="82"/>
        <v>144362</v>
      </c>
    </row>
    <row r="400" spans="2:20">
      <c r="B400" s="604">
        <f t="shared" si="83"/>
        <v>2296</v>
      </c>
      <c r="C400" s="297">
        <f t="shared" si="80"/>
        <v>25</v>
      </c>
      <c r="D400" s="297">
        <f t="shared" si="84"/>
        <v>0</v>
      </c>
      <c r="E400" s="297">
        <f t="shared" si="85"/>
        <v>16</v>
      </c>
      <c r="F400" s="298">
        <f t="shared" si="86"/>
        <v>0</v>
      </c>
      <c r="G400" s="298">
        <f t="shared" si="87"/>
        <v>0</v>
      </c>
      <c r="H400" s="298">
        <f t="shared" si="88"/>
        <v>29</v>
      </c>
      <c r="I400" s="298">
        <f t="shared" si="89"/>
        <v>6</v>
      </c>
      <c r="J400" s="298">
        <f t="shared" si="90"/>
        <v>35</v>
      </c>
      <c r="K400" s="299">
        <f t="shared" si="91"/>
        <v>144747</v>
      </c>
      <c r="R400" s="497">
        <f t="shared" si="81"/>
        <v>144754</v>
      </c>
      <c r="T400" s="302">
        <f t="shared" si="82"/>
        <v>144747</v>
      </c>
    </row>
    <row r="401" spans="2:20">
      <c r="B401" s="604">
        <f t="shared" si="83"/>
        <v>2297</v>
      </c>
      <c r="C401" s="297">
        <f t="shared" si="80"/>
        <v>25</v>
      </c>
      <c r="D401" s="297">
        <f t="shared" si="84"/>
        <v>0</v>
      </c>
      <c r="E401" s="297">
        <f t="shared" si="85"/>
        <v>17</v>
      </c>
      <c r="F401" s="298">
        <f t="shared" si="86"/>
        <v>1</v>
      </c>
      <c r="G401" s="298">
        <f t="shared" si="87"/>
        <v>1</v>
      </c>
      <c r="H401" s="298">
        <f t="shared" si="88"/>
        <v>18</v>
      </c>
      <c r="I401" s="298">
        <f t="shared" si="89"/>
        <v>2</v>
      </c>
      <c r="J401" s="298">
        <f t="shared" si="90"/>
        <v>20</v>
      </c>
      <c r="K401" s="299">
        <f t="shared" si="91"/>
        <v>145104</v>
      </c>
      <c r="R401" s="497">
        <f t="shared" si="81"/>
        <v>145104</v>
      </c>
      <c r="T401" s="302">
        <f t="shared" si="82"/>
        <v>145104</v>
      </c>
    </row>
    <row r="402" spans="2:20">
      <c r="B402" s="604">
        <f t="shared" si="83"/>
        <v>2298</v>
      </c>
      <c r="C402" s="297">
        <f t="shared" si="80"/>
        <v>25</v>
      </c>
      <c r="D402" s="297">
        <f t="shared" si="84"/>
        <v>0</v>
      </c>
      <c r="E402" s="297">
        <f t="shared" si="85"/>
        <v>18</v>
      </c>
      <c r="F402" s="298">
        <f t="shared" si="86"/>
        <v>2</v>
      </c>
      <c r="G402" s="298">
        <f t="shared" si="87"/>
        <v>2</v>
      </c>
      <c r="H402" s="298">
        <f t="shared" si="88"/>
        <v>7</v>
      </c>
      <c r="I402" s="298">
        <f t="shared" si="89"/>
        <v>5</v>
      </c>
      <c r="J402" s="298">
        <f t="shared" si="90"/>
        <v>12</v>
      </c>
      <c r="K402" s="299">
        <f t="shared" si="91"/>
        <v>145461</v>
      </c>
      <c r="R402" s="497">
        <f t="shared" si="81"/>
        <v>145461</v>
      </c>
      <c r="T402" s="302">
        <f t="shared" si="82"/>
        <v>145461</v>
      </c>
    </row>
    <row r="403" spans="2:20">
      <c r="B403" s="604">
        <f t="shared" si="83"/>
        <v>2299</v>
      </c>
      <c r="C403" s="297">
        <f t="shared" si="80"/>
        <v>25</v>
      </c>
      <c r="D403" s="297">
        <f t="shared" si="84"/>
        <v>0</v>
      </c>
      <c r="E403" s="297">
        <f t="shared" si="85"/>
        <v>0</v>
      </c>
      <c r="F403" s="298">
        <f t="shared" si="86"/>
        <v>3</v>
      </c>
      <c r="G403" s="298">
        <f t="shared" si="87"/>
        <v>3</v>
      </c>
      <c r="H403" s="298">
        <f t="shared" si="88"/>
        <v>25</v>
      </c>
      <c r="I403" s="298">
        <f t="shared" si="89"/>
        <v>0</v>
      </c>
      <c r="J403" s="298">
        <f t="shared" si="90"/>
        <v>25</v>
      </c>
      <c r="K403" s="299">
        <f t="shared" si="91"/>
        <v>145839</v>
      </c>
      <c r="R403" s="497">
        <f t="shared" si="81"/>
        <v>145839</v>
      </c>
      <c r="T403" s="302">
        <f t="shared" si="82"/>
        <v>145839</v>
      </c>
    </row>
    <row r="404" spans="2:20">
      <c r="B404" s="604">
        <f t="shared" si="83"/>
        <v>2300</v>
      </c>
      <c r="C404" s="297">
        <f t="shared" si="80"/>
        <v>26</v>
      </c>
      <c r="D404" s="297">
        <f t="shared" si="84"/>
        <v>1</v>
      </c>
      <c r="E404" s="297">
        <f t="shared" si="85"/>
        <v>1</v>
      </c>
      <c r="F404" s="298">
        <f t="shared" si="86"/>
        <v>0</v>
      </c>
      <c r="G404" s="298">
        <f t="shared" si="87"/>
        <v>4</v>
      </c>
      <c r="H404" s="298">
        <f t="shared" si="88"/>
        <v>15</v>
      </c>
      <c r="I404" s="298">
        <f t="shared" si="89"/>
        <v>2</v>
      </c>
      <c r="J404" s="298">
        <f t="shared" si="90"/>
        <v>17</v>
      </c>
      <c r="K404" s="299">
        <f t="shared" si="91"/>
        <v>146196</v>
      </c>
      <c r="R404" s="497">
        <f t="shared" si="81"/>
        <v>146196</v>
      </c>
      <c r="T404" s="302">
        <f t="shared" si="82"/>
        <v>146196</v>
      </c>
    </row>
    <row r="405" spans="2:20">
      <c r="B405" s="604">
        <f t="shared" si="83"/>
        <v>2301</v>
      </c>
      <c r="C405" s="297">
        <f t="shared" si="80"/>
        <v>26</v>
      </c>
      <c r="D405" s="297">
        <f t="shared" si="84"/>
        <v>1</v>
      </c>
      <c r="E405" s="297">
        <f t="shared" si="85"/>
        <v>2</v>
      </c>
      <c r="F405" s="298">
        <f t="shared" si="86"/>
        <v>1</v>
      </c>
      <c r="G405" s="298">
        <f t="shared" si="87"/>
        <v>5</v>
      </c>
      <c r="H405" s="298">
        <f t="shared" si="88"/>
        <v>4</v>
      </c>
      <c r="I405" s="298">
        <f t="shared" si="89"/>
        <v>5</v>
      </c>
      <c r="J405" s="298">
        <f t="shared" si="90"/>
        <v>9</v>
      </c>
      <c r="K405" s="299">
        <f t="shared" si="91"/>
        <v>146553</v>
      </c>
      <c r="R405" s="497">
        <f t="shared" si="81"/>
        <v>146553</v>
      </c>
      <c r="T405" s="302">
        <f t="shared" si="82"/>
        <v>146546</v>
      </c>
    </row>
    <row r="406" spans="2:20">
      <c r="B406" s="604">
        <f t="shared" si="83"/>
        <v>2302</v>
      </c>
      <c r="C406" s="297">
        <f t="shared" si="80"/>
        <v>26</v>
      </c>
      <c r="D406" s="297">
        <f t="shared" si="84"/>
        <v>1</v>
      </c>
      <c r="E406" s="297">
        <f t="shared" si="85"/>
        <v>3</v>
      </c>
      <c r="F406" s="298">
        <f t="shared" si="86"/>
        <v>2</v>
      </c>
      <c r="G406" s="298">
        <f t="shared" si="87"/>
        <v>6</v>
      </c>
      <c r="H406" s="298">
        <f t="shared" si="88"/>
        <v>23</v>
      </c>
      <c r="I406" s="298">
        <f t="shared" si="89"/>
        <v>6</v>
      </c>
      <c r="J406" s="298">
        <f t="shared" si="90"/>
        <v>29</v>
      </c>
      <c r="K406" s="299">
        <f t="shared" si="91"/>
        <v>146938</v>
      </c>
      <c r="R406" s="497">
        <f t="shared" si="81"/>
        <v>146938</v>
      </c>
      <c r="T406" s="302">
        <f t="shared" si="82"/>
        <v>146931</v>
      </c>
    </row>
    <row r="407" spans="2:20">
      <c r="B407" s="604">
        <f t="shared" si="83"/>
        <v>2303</v>
      </c>
      <c r="C407" s="297">
        <f t="shared" si="80"/>
        <v>26</v>
      </c>
      <c r="D407" s="297">
        <f t="shared" si="84"/>
        <v>1</v>
      </c>
      <c r="E407" s="297">
        <f t="shared" si="85"/>
        <v>4</v>
      </c>
      <c r="F407" s="298">
        <f t="shared" si="86"/>
        <v>3</v>
      </c>
      <c r="G407" s="298">
        <f t="shared" si="87"/>
        <v>0</v>
      </c>
      <c r="H407" s="298">
        <f t="shared" si="88"/>
        <v>12</v>
      </c>
      <c r="I407" s="298">
        <f t="shared" si="89"/>
        <v>2</v>
      </c>
      <c r="J407" s="298">
        <f t="shared" si="90"/>
        <v>14</v>
      </c>
      <c r="K407" s="299">
        <f t="shared" si="91"/>
        <v>147288</v>
      </c>
      <c r="R407" s="497">
        <f t="shared" si="81"/>
        <v>147288</v>
      </c>
      <c r="T407" s="302">
        <f t="shared" si="82"/>
        <v>147288</v>
      </c>
    </row>
    <row r="408" spans="2:20">
      <c r="B408" s="604">
        <f t="shared" si="83"/>
        <v>2304</v>
      </c>
      <c r="C408" s="297">
        <f t="shared" si="80"/>
        <v>26</v>
      </c>
      <c r="D408" s="297">
        <f t="shared" si="84"/>
        <v>1</v>
      </c>
      <c r="E408" s="297">
        <f t="shared" si="85"/>
        <v>5</v>
      </c>
      <c r="F408" s="298">
        <f t="shared" si="86"/>
        <v>0</v>
      </c>
      <c r="G408" s="298">
        <f t="shared" si="87"/>
        <v>1</v>
      </c>
      <c r="H408" s="298">
        <f t="shared" si="88"/>
        <v>1</v>
      </c>
      <c r="I408" s="298">
        <f t="shared" si="89"/>
        <v>4</v>
      </c>
      <c r="J408" s="298">
        <f t="shared" si="90"/>
        <v>5</v>
      </c>
      <c r="K408" s="299">
        <f t="shared" si="91"/>
        <v>147645</v>
      </c>
      <c r="R408" s="497">
        <f t="shared" si="81"/>
        <v>147645</v>
      </c>
      <c r="T408" s="302">
        <f t="shared" si="82"/>
        <v>147673</v>
      </c>
    </row>
    <row r="409" spans="2:20">
      <c r="B409" s="604">
        <f t="shared" si="83"/>
        <v>2305</v>
      </c>
      <c r="C409" s="297">
        <f t="shared" si="80"/>
        <v>26</v>
      </c>
      <c r="D409" s="297">
        <f t="shared" si="84"/>
        <v>1</v>
      </c>
      <c r="E409" s="297">
        <f t="shared" si="85"/>
        <v>6</v>
      </c>
      <c r="F409" s="298">
        <f t="shared" si="86"/>
        <v>1</v>
      </c>
      <c r="G409" s="298">
        <f t="shared" si="87"/>
        <v>2</v>
      </c>
      <c r="H409" s="298">
        <f t="shared" si="88"/>
        <v>20</v>
      </c>
      <c r="I409" s="298">
        <f t="shared" si="89"/>
        <v>5</v>
      </c>
      <c r="J409" s="298">
        <f t="shared" si="90"/>
        <v>25</v>
      </c>
      <c r="K409" s="299">
        <f t="shared" si="91"/>
        <v>148030</v>
      </c>
      <c r="R409" s="497">
        <f t="shared" si="81"/>
        <v>148030</v>
      </c>
      <c r="T409" s="302">
        <f t="shared" si="82"/>
        <v>148023</v>
      </c>
    </row>
    <row r="410" spans="2:20">
      <c r="B410" s="604">
        <f t="shared" si="83"/>
        <v>2306</v>
      </c>
      <c r="C410" s="297">
        <f t="shared" si="80"/>
        <v>26</v>
      </c>
      <c r="D410" s="297">
        <f t="shared" si="84"/>
        <v>1</v>
      </c>
      <c r="E410" s="297">
        <f t="shared" si="85"/>
        <v>7</v>
      </c>
      <c r="F410" s="298">
        <f t="shared" si="86"/>
        <v>2</v>
      </c>
      <c r="G410" s="298">
        <f t="shared" si="87"/>
        <v>3</v>
      </c>
      <c r="H410" s="298">
        <f t="shared" si="88"/>
        <v>9</v>
      </c>
      <c r="I410" s="298">
        <f t="shared" si="89"/>
        <v>1</v>
      </c>
      <c r="J410" s="298">
        <f t="shared" si="90"/>
        <v>10</v>
      </c>
      <c r="K410" s="299">
        <f t="shared" si="91"/>
        <v>148380</v>
      </c>
      <c r="R410" s="497">
        <f t="shared" si="81"/>
        <v>148380</v>
      </c>
      <c r="T410" s="302">
        <f t="shared" si="82"/>
        <v>148380</v>
      </c>
    </row>
    <row r="411" spans="2:20">
      <c r="B411" s="604">
        <f t="shared" si="83"/>
        <v>2307</v>
      </c>
      <c r="C411" s="297">
        <f t="shared" si="80"/>
        <v>26</v>
      </c>
      <c r="D411" s="297">
        <f t="shared" si="84"/>
        <v>1</v>
      </c>
      <c r="E411" s="297">
        <f t="shared" si="85"/>
        <v>8</v>
      </c>
      <c r="F411" s="298">
        <f t="shared" si="86"/>
        <v>3</v>
      </c>
      <c r="G411" s="298">
        <f t="shared" si="87"/>
        <v>4</v>
      </c>
      <c r="H411" s="298">
        <f t="shared" si="88"/>
        <v>28</v>
      </c>
      <c r="I411" s="298">
        <f t="shared" si="89"/>
        <v>2</v>
      </c>
      <c r="J411" s="298">
        <f t="shared" si="90"/>
        <v>30</v>
      </c>
      <c r="K411" s="299">
        <f t="shared" si="91"/>
        <v>148765</v>
      </c>
      <c r="R411" s="497">
        <f t="shared" si="81"/>
        <v>148765</v>
      </c>
      <c r="T411" s="302">
        <f t="shared" si="82"/>
        <v>148765</v>
      </c>
    </row>
    <row r="412" spans="2:20">
      <c r="B412" s="604">
        <f t="shared" si="83"/>
        <v>2308</v>
      </c>
      <c r="C412" s="297">
        <f t="shared" si="80"/>
        <v>26</v>
      </c>
      <c r="D412" s="297">
        <f t="shared" si="84"/>
        <v>1</v>
      </c>
      <c r="E412" s="297">
        <f t="shared" si="85"/>
        <v>9</v>
      </c>
      <c r="F412" s="298">
        <f t="shared" si="86"/>
        <v>0</v>
      </c>
      <c r="G412" s="298">
        <f t="shared" si="87"/>
        <v>5</v>
      </c>
      <c r="H412" s="298">
        <f t="shared" si="88"/>
        <v>17</v>
      </c>
      <c r="I412" s="298">
        <f t="shared" si="89"/>
        <v>4</v>
      </c>
      <c r="J412" s="298">
        <f t="shared" si="90"/>
        <v>21</v>
      </c>
      <c r="K412" s="299">
        <f t="shared" si="91"/>
        <v>149122</v>
      </c>
      <c r="R412" s="497">
        <f t="shared" si="81"/>
        <v>149122</v>
      </c>
      <c r="T412" s="302">
        <f t="shared" si="82"/>
        <v>149122</v>
      </c>
    </row>
    <row r="413" spans="2:20">
      <c r="B413" s="604">
        <f t="shared" si="83"/>
        <v>2309</v>
      </c>
      <c r="C413" s="297">
        <f t="shared" si="80"/>
        <v>26</v>
      </c>
      <c r="D413" s="297">
        <f t="shared" si="84"/>
        <v>1</v>
      </c>
      <c r="E413" s="297">
        <f t="shared" si="85"/>
        <v>10</v>
      </c>
      <c r="F413" s="298">
        <f t="shared" si="86"/>
        <v>1</v>
      </c>
      <c r="G413" s="298">
        <f t="shared" si="87"/>
        <v>6</v>
      </c>
      <c r="H413" s="298">
        <f t="shared" si="88"/>
        <v>6</v>
      </c>
      <c r="I413" s="298">
        <f t="shared" si="89"/>
        <v>0</v>
      </c>
      <c r="J413" s="298">
        <f t="shared" si="90"/>
        <v>6</v>
      </c>
      <c r="K413" s="299">
        <f t="shared" si="91"/>
        <v>149472</v>
      </c>
      <c r="R413" s="497">
        <f t="shared" si="81"/>
        <v>149472</v>
      </c>
      <c r="T413" s="302">
        <f t="shared" si="82"/>
        <v>149472</v>
      </c>
    </row>
    <row r="414" spans="2:20">
      <c r="B414" s="604">
        <f t="shared" si="83"/>
        <v>2310</v>
      </c>
      <c r="C414" s="297">
        <f t="shared" si="80"/>
        <v>26</v>
      </c>
      <c r="D414" s="297">
        <f t="shared" si="84"/>
        <v>1</v>
      </c>
      <c r="E414" s="297">
        <f t="shared" si="85"/>
        <v>11</v>
      </c>
      <c r="F414" s="298">
        <f t="shared" si="86"/>
        <v>2</v>
      </c>
      <c r="G414" s="298">
        <f t="shared" si="87"/>
        <v>0</v>
      </c>
      <c r="H414" s="298">
        <f t="shared" si="88"/>
        <v>25</v>
      </c>
      <c r="I414" s="298">
        <f t="shared" si="89"/>
        <v>1</v>
      </c>
      <c r="J414" s="298">
        <f t="shared" si="90"/>
        <v>26</v>
      </c>
      <c r="K414" s="299">
        <f t="shared" si="91"/>
        <v>149857</v>
      </c>
      <c r="R414" s="497">
        <f t="shared" si="81"/>
        <v>149857</v>
      </c>
      <c r="T414" s="302">
        <f t="shared" si="82"/>
        <v>149857</v>
      </c>
    </row>
    <row r="415" spans="2:20">
      <c r="B415" s="604">
        <f t="shared" si="83"/>
        <v>2311</v>
      </c>
      <c r="C415" s="297">
        <f t="shared" si="80"/>
        <v>26</v>
      </c>
      <c r="D415" s="297">
        <f t="shared" si="84"/>
        <v>1</v>
      </c>
      <c r="E415" s="297">
        <f t="shared" si="85"/>
        <v>12</v>
      </c>
      <c r="F415" s="298">
        <f t="shared" si="86"/>
        <v>3</v>
      </c>
      <c r="G415" s="298">
        <f t="shared" si="87"/>
        <v>1</v>
      </c>
      <c r="H415" s="298">
        <f t="shared" si="88"/>
        <v>14</v>
      </c>
      <c r="I415" s="298">
        <f t="shared" si="89"/>
        <v>4</v>
      </c>
      <c r="J415" s="298">
        <f t="shared" si="90"/>
        <v>18</v>
      </c>
      <c r="K415" s="299">
        <f t="shared" si="91"/>
        <v>150214</v>
      </c>
      <c r="R415" s="497">
        <f t="shared" si="81"/>
        <v>150214</v>
      </c>
      <c r="T415" s="302">
        <f t="shared" si="82"/>
        <v>150214</v>
      </c>
    </row>
    <row r="416" spans="2:20">
      <c r="B416" s="604">
        <f t="shared" si="83"/>
        <v>2312</v>
      </c>
      <c r="C416" s="297">
        <f t="shared" si="80"/>
        <v>26</v>
      </c>
      <c r="D416" s="297">
        <f t="shared" si="84"/>
        <v>1</v>
      </c>
      <c r="E416" s="297">
        <f t="shared" si="85"/>
        <v>13</v>
      </c>
      <c r="F416" s="298">
        <f t="shared" si="86"/>
        <v>0</v>
      </c>
      <c r="G416" s="298">
        <f t="shared" si="87"/>
        <v>2</v>
      </c>
      <c r="H416" s="298">
        <f t="shared" si="88"/>
        <v>3</v>
      </c>
      <c r="I416" s="298">
        <f t="shared" si="89"/>
        <v>6</v>
      </c>
      <c r="J416" s="298">
        <f t="shared" si="90"/>
        <v>9</v>
      </c>
      <c r="K416" s="299">
        <f t="shared" si="91"/>
        <v>150571</v>
      </c>
      <c r="R416" s="497">
        <f t="shared" si="81"/>
        <v>150571</v>
      </c>
      <c r="T416" s="302">
        <f t="shared" si="82"/>
        <v>150564</v>
      </c>
    </row>
    <row r="417" spans="2:20">
      <c r="B417" s="604">
        <f t="shared" si="83"/>
        <v>2313</v>
      </c>
      <c r="C417" s="297">
        <f t="shared" si="80"/>
        <v>26</v>
      </c>
      <c r="D417" s="297">
        <f t="shared" si="84"/>
        <v>1</v>
      </c>
      <c r="E417" s="297">
        <f t="shared" si="85"/>
        <v>14</v>
      </c>
      <c r="F417" s="298">
        <f t="shared" si="86"/>
        <v>1</v>
      </c>
      <c r="G417" s="298">
        <f t="shared" si="87"/>
        <v>3</v>
      </c>
      <c r="H417" s="298">
        <f t="shared" si="88"/>
        <v>22</v>
      </c>
      <c r="I417" s="298">
        <f t="shared" si="89"/>
        <v>0</v>
      </c>
      <c r="J417" s="298">
        <f t="shared" si="90"/>
        <v>22</v>
      </c>
      <c r="K417" s="299">
        <f t="shared" si="91"/>
        <v>150949</v>
      </c>
      <c r="R417" s="497">
        <f t="shared" si="81"/>
        <v>150949</v>
      </c>
      <c r="T417" s="302">
        <f t="shared" si="82"/>
        <v>150949</v>
      </c>
    </row>
    <row r="418" spans="2:20">
      <c r="B418" s="604">
        <f t="shared" si="83"/>
        <v>2314</v>
      </c>
      <c r="C418" s="297">
        <f t="shared" si="80"/>
        <v>26</v>
      </c>
      <c r="D418" s="297">
        <f t="shared" si="84"/>
        <v>1</v>
      </c>
      <c r="E418" s="297">
        <f t="shared" si="85"/>
        <v>15</v>
      </c>
      <c r="F418" s="298">
        <f t="shared" si="86"/>
        <v>2</v>
      </c>
      <c r="G418" s="298">
        <f t="shared" si="87"/>
        <v>4</v>
      </c>
      <c r="H418" s="298">
        <f t="shared" si="88"/>
        <v>11</v>
      </c>
      <c r="I418" s="298">
        <f t="shared" si="89"/>
        <v>3</v>
      </c>
      <c r="J418" s="298">
        <f t="shared" si="90"/>
        <v>14</v>
      </c>
      <c r="K418" s="299">
        <f t="shared" si="91"/>
        <v>151306</v>
      </c>
      <c r="R418" s="497">
        <f t="shared" si="81"/>
        <v>151306</v>
      </c>
      <c r="T418" s="302">
        <f t="shared" si="82"/>
        <v>151306</v>
      </c>
    </row>
    <row r="419" spans="2:20">
      <c r="B419" s="604">
        <f t="shared" si="83"/>
        <v>2315</v>
      </c>
      <c r="C419" s="297">
        <f t="shared" si="80"/>
        <v>26</v>
      </c>
      <c r="D419" s="297">
        <f t="shared" si="84"/>
        <v>1</v>
      </c>
      <c r="E419" s="297">
        <f t="shared" si="85"/>
        <v>16</v>
      </c>
      <c r="F419" s="298">
        <f t="shared" si="86"/>
        <v>3</v>
      </c>
      <c r="G419" s="298">
        <f t="shared" si="87"/>
        <v>5</v>
      </c>
      <c r="H419" s="298">
        <f t="shared" si="88"/>
        <v>0</v>
      </c>
      <c r="I419" s="298">
        <f t="shared" si="89"/>
        <v>6</v>
      </c>
      <c r="J419" s="298">
        <f t="shared" si="90"/>
        <v>6</v>
      </c>
      <c r="K419" s="299">
        <f t="shared" si="91"/>
        <v>151663</v>
      </c>
      <c r="R419" s="497">
        <f t="shared" si="81"/>
        <v>151663</v>
      </c>
      <c r="T419" s="302">
        <f t="shared" si="82"/>
        <v>151684</v>
      </c>
    </row>
    <row r="420" spans="2:20">
      <c r="B420" s="604">
        <f t="shared" si="83"/>
        <v>2316</v>
      </c>
      <c r="C420" s="297">
        <f t="shared" si="80"/>
        <v>26</v>
      </c>
      <c r="D420" s="297">
        <f t="shared" si="84"/>
        <v>1</v>
      </c>
      <c r="E420" s="297">
        <f t="shared" si="85"/>
        <v>17</v>
      </c>
      <c r="F420" s="298">
        <f t="shared" si="86"/>
        <v>0</v>
      </c>
      <c r="G420" s="298">
        <f t="shared" si="87"/>
        <v>6</v>
      </c>
      <c r="H420" s="298">
        <f t="shared" si="88"/>
        <v>19</v>
      </c>
      <c r="I420" s="298">
        <f t="shared" si="89"/>
        <v>6</v>
      </c>
      <c r="J420" s="298">
        <f t="shared" si="90"/>
        <v>25</v>
      </c>
      <c r="K420" s="299">
        <f t="shared" si="91"/>
        <v>152048</v>
      </c>
      <c r="R420" s="497">
        <f t="shared" si="81"/>
        <v>152048</v>
      </c>
      <c r="T420" s="302">
        <f t="shared" si="82"/>
        <v>152041</v>
      </c>
    </row>
    <row r="421" spans="2:20">
      <c r="B421" s="604">
        <f t="shared" si="83"/>
        <v>2317</v>
      </c>
      <c r="C421" s="297">
        <f t="shared" si="80"/>
        <v>26</v>
      </c>
      <c r="D421" s="297">
        <f t="shared" si="84"/>
        <v>1</v>
      </c>
      <c r="E421" s="297">
        <f t="shared" si="85"/>
        <v>18</v>
      </c>
      <c r="F421" s="298">
        <f t="shared" si="86"/>
        <v>1</v>
      </c>
      <c r="G421" s="298">
        <f t="shared" si="87"/>
        <v>0</v>
      </c>
      <c r="H421" s="298">
        <f t="shared" si="88"/>
        <v>8</v>
      </c>
      <c r="I421" s="298">
        <f t="shared" si="89"/>
        <v>2</v>
      </c>
      <c r="J421" s="298">
        <f t="shared" si="90"/>
        <v>10</v>
      </c>
      <c r="K421" s="299">
        <f t="shared" si="91"/>
        <v>152398</v>
      </c>
      <c r="R421" s="497">
        <f t="shared" si="81"/>
        <v>152398</v>
      </c>
      <c r="T421" s="302">
        <f t="shared" si="82"/>
        <v>152398</v>
      </c>
    </row>
    <row r="422" spans="2:20">
      <c r="B422" s="604">
        <f t="shared" si="83"/>
        <v>2318</v>
      </c>
      <c r="C422" s="297">
        <f t="shared" si="80"/>
        <v>26</v>
      </c>
      <c r="D422" s="297">
        <f t="shared" si="84"/>
        <v>1</v>
      </c>
      <c r="E422" s="297">
        <f t="shared" si="85"/>
        <v>0</v>
      </c>
      <c r="F422" s="298">
        <f t="shared" si="86"/>
        <v>2</v>
      </c>
      <c r="G422" s="298">
        <f t="shared" si="87"/>
        <v>1</v>
      </c>
      <c r="H422" s="298">
        <f t="shared" si="88"/>
        <v>26</v>
      </c>
      <c r="I422" s="298">
        <f t="shared" si="89"/>
        <v>4</v>
      </c>
      <c r="J422" s="298">
        <f t="shared" si="90"/>
        <v>30</v>
      </c>
      <c r="K422" s="299">
        <f t="shared" si="91"/>
        <v>152783</v>
      </c>
      <c r="R422" s="497">
        <f t="shared" si="81"/>
        <v>152783</v>
      </c>
      <c r="T422" s="302">
        <f t="shared" si="82"/>
        <v>152783</v>
      </c>
    </row>
    <row r="423" spans="2:20">
      <c r="B423" s="604">
        <f t="shared" si="83"/>
        <v>2319</v>
      </c>
      <c r="C423" s="297">
        <f t="shared" si="80"/>
        <v>26</v>
      </c>
      <c r="D423" s="297">
        <f t="shared" si="84"/>
        <v>1</v>
      </c>
      <c r="E423" s="297">
        <f t="shared" si="85"/>
        <v>1</v>
      </c>
      <c r="F423" s="298">
        <f t="shared" si="86"/>
        <v>3</v>
      </c>
      <c r="G423" s="298">
        <f t="shared" si="87"/>
        <v>2</v>
      </c>
      <c r="H423" s="298">
        <f t="shared" si="88"/>
        <v>15</v>
      </c>
      <c r="I423" s="298">
        <f t="shared" si="89"/>
        <v>0</v>
      </c>
      <c r="J423" s="298">
        <f t="shared" si="90"/>
        <v>15</v>
      </c>
      <c r="K423" s="299">
        <f t="shared" si="91"/>
        <v>153133</v>
      </c>
      <c r="R423" s="497">
        <f t="shared" si="81"/>
        <v>153133</v>
      </c>
      <c r="T423" s="302">
        <f t="shared" si="82"/>
        <v>153133</v>
      </c>
    </row>
    <row r="424" spans="2:20">
      <c r="B424" s="604">
        <f t="shared" si="83"/>
        <v>2320</v>
      </c>
      <c r="C424" s="297">
        <f t="shared" si="80"/>
        <v>26</v>
      </c>
      <c r="D424" s="297">
        <f t="shared" si="84"/>
        <v>1</v>
      </c>
      <c r="E424" s="297">
        <f t="shared" si="85"/>
        <v>2</v>
      </c>
      <c r="F424" s="298">
        <f t="shared" si="86"/>
        <v>0</v>
      </c>
      <c r="G424" s="298">
        <f t="shared" si="87"/>
        <v>3</v>
      </c>
      <c r="H424" s="298">
        <f t="shared" si="88"/>
        <v>4</v>
      </c>
      <c r="I424" s="298">
        <f t="shared" si="89"/>
        <v>2</v>
      </c>
      <c r="J424" s="298">
        <f t="shared" si="90"/>
        <v>6</v>
      </c>
      <c r="K424" s="299">
        <f t="shared" si="91"/>
        <v>153490</v>
      </c>
      <c r="R424" s="497">
        <f t="shared" si="81"/>
        <v>153490</v>
      </c>
      <c r="T424" s="302">
        <f t="shared" si="82"/>
        <v>153490</v>
      </c>
    </row>
    <row r="425" spans="2:20">
      <c r="B425" s="604">
        <f t="shared" si="83"/>
        <v>2321</v>
      </c>
      <c r="C425" s="297">
        <f t="shared" si="80"/>
        <v>26</v>
      </c>
      <c r="D425" s="297">
        <f t="shared" si="84"/>
        <v>1</v>
      </c>
      <c r="E425" s="297">
        <f t="shared" si="85"/>
        <v>3</v>
      </c>
      <c r="F425" s="298">
        <f t="shared" si="86"/>
        <v>1</v>
      </c>
      <c r="G425" s="298">
        <f t="shared" si="87"/>
        <v>4</v>
      </c>
      <c r="H425" s="298">
        <f t="shared" si="88"/>
        <v>23</v>
      </c>
      <c r="I425" s="298">
        <f t="shared" si="89"/>
        <v>3</v>
      </c>
      <c r="J425" s="298">
        <f t="shared" si="90"/>
        <v>26</v>
      </c>
      <c r="K425" s="299">
        <f t="shared" si="91"/>
        <v>153875</v>
      </c>
      <c r="R425" s="497">
        <f t="shared" si="81"/>
        <v>153875</v>
      </c>
      <c r="T425" s="302">
        <f t="shared" si="82"/>
        <v>153875</v>
      </c>
    </row>
    <row r="426" spans="2:20">
      <c r="B426" s="604">
        <f t="shared" si="83"/>
        <v>2322</v>
      </c>
      <c r="C426" s="297">
        <f t="shared" si="80"/>
        <v>26</v>
      </c>
      <c r="D426" s="297">
        <f t="shared" si="84"/>
        <v>1</v>
      </c>
      <c r="E426" s="297">
        <f t="shared" si="85"/>
        <v>4</v>
      </c>
      <c r="F426" s="298">
        <f t="shared" si="86"/>
        <v>2</v>
      </c>
      <c r="G426" s="298">
        <f t="shared" si="87"/>
        <v>5</v>
      </c>
      <c r="H426" s="298">
        <f t="shared" si="88"/>
        <v>12</v>
      </c>
      <c r="I426" s="298">
        <f t="shared" si="89"/>
        <v>6</v>
      </c>
      <c r="J426" s="298">
        <f t="shared" si="90"/>
        <v>18</v>
      </c>
      <c r="K426" s="299">
        <f t="shared" si="91"/>
        <v>154232</v>
      </c>
      <c r="R426" s="497">
        <f t="shared" si="81"/>
        <v>154232</v>
      </c>
      <c r="T426" s="302">
        <f t="shared" si="82"/>
        <v>154225</v>
      </c>
    </row>
    <row r="427" spans="2:20">
      <c r="B427" s="604">
        <f t="shared" si="83"/>
        <v>2323</v>
      </c>
      <c r="C427" s="297">
        <f t="shared" si="80"/>
        <v>26</v>
      </c>
      <c r="D427" s="297">
        <f t="shared" si="84"/>
        <v>1</v>
      </c>
      <c r="E427" s="297">
        <f t="shared" si="85"/>
        <v>5</v>
      </c>
      <c r="F427" s="298">
        <f t="shared" si="86"/>
        <v>3</v>
      </c>
      <c r="G427" s="298">
        <f t="shared" si="87"/>
        <v>6</v>
      </c>
      <c r="H427" s="298">
        <f t="shared" si="88"/>
        <v>1</v>
      </c>
      <c r="I427" s="298">
        <f t="shared" si="89"/>
        <v>2</v>
      </c>
      <c r="J427" s="298">
        <f t="shared" si="90"/>
        <v>3</v>
      </c>
      <c r="K427" s="299">
        <f t="shared" si="91"/>
        <v>154582</v>
      </c>
      <c r="R427" s="497">
        <f t="shared" si="81"/>
        <v>154582</v>
      </c>
      <c r="T427" s="302">
        <f t="shared" si="82"/>
        <v>154610</v>
      </c>
    </row>
    <row r="428" spans="2:20">
      <c r="B428" s="604">
        <f t="shared" si="83"/>
        <v>2324</v>
      </c>
      <c r="C428" s="297">
        <f t="shared" si="80"/>
        <v>26</v>
      </c>
      <c r="D428" s="297">
        <f t="shared" si="84"/>
        <v>1</v>
      </c>
      <c r="E428" s="297">
        <f t="shared" si="85"/>
        <v>6</v>
      </c>
      <c r="F428" s="298">
        <f t="shared" si="86"/>
        <v>0</v>
      </c>
      <c r="G428" s="298">
        <f t="shared" si="87"/>
        <v>0</v>
      </c>
      <c r="H428" s="298">
        <f t="shared" si="88"/>
        <v>20</v>
      </c>
      <c r="I428" s="298">
        <f t="shared" si="89"/>
        <v>2</v>
      </c>
      <c r="J428" s="298">
        <f t="shared" si="90"/>
        <v>22</v>
      </c>
      <c r="K428" s="299">
        <f t="shared" si="91"/>
        <v>154967</v>
      </c>
      <c r="R428" s="497">
        <f t="shared" si="81"/>
        <v>154967</v>
      </c>
      <c r="T428" s="302">
        <f t="shared" si="82"/>
        <v>154967</v>
      </c>
    </row>
    <row r="429" spans="2:20">
      <c r="B429" s="604">
        <f t="shared" si="83"/>
        <v>2325</v>
      </c>
      <c r="C429" s="297">
        <f t="shared" si="80"/>
        <v>26</v>
      </c>
      <c r="D429" s="297">
        <f t="shared" si="84"/>
        <v>1</v>
      </c>
      <c r="E429" s="297">
        <f t="shared" si="85"/>
        <v>7</v>
      </c>
      <c r="F429" s="298">
        <f t="shared" si="86"/>
        <v>1</v>
      </c>
      <c r="G429" s="298">
        <f t="shared" si="87"/>
        <v>1</v>
      </c>
      <c r="H429" s="298">
        <f t="shared" si="88"/>
        <v>9</v>
      </c>
      <c r="I429" s="298">
        <f t="shared" si="89"/>
        <v>5</v>
      </c>
      <c r="J429" s="298">
        <f t="shared" si="90"/>
        <v>14</v>
      </c>
      <c r="K429" s="299">
        <f t="shared" si="91"/>
        <v>155324</v>
      </c>
      <c r="R429" s="497">
        <f t="shared" si="81"/>
        <v>155324</v>
      </c>
      <c r="T429" s="302">
        <f t="shared" si="82"/>
        <v>155317</v>
      </c>
    </row>
    <row r="430" spans="2:20">
      <c r="B430" s="604">
        <f t="shared" si="83"/>
        <v>2326</v>
      </c>
      <c r="C430" s="297">
        <f t="shared" si="80"/>
        <v>26</v>
      </c>
      <c r="D430" s="297">
        <f t="shared" si="84"/>
        <v>1</v>
      </c>
      <c r="E430" s="297">
        <f t="shared" si="85"/>
        <v>8</v>
      </c>
      <c r="F430" s="298">
        <f t="shared" si="86"/>
        <v>2</v>
      </c>
      <c r="G430" s="298">
        <f t="shared" si="87"/>
        <v>2</v>
      </c>
      <c r="H430" s="298">
        <f t="shared" si="88"/>
        <v>28</v>
      </c>
      <c r="I430" s="298">
        <f t="shared" si="89"/>
        <v>6</v>
      </c>
      <c r="J430" s="298">
        <f t="shared" si="90"/>
        <v>34</v>
      </c>
      <c r="K430" s="299">
        <f t="shared" si="91"/>
        <v>155709</v>
      </c>
      <c r="R430" s="497">
        <f t="shared" si="81"/>
        <v>155709</v>
      </c>
      <c r="T430" s="302">
        <f t="shared" si="82"/>
        <v>155702</v>
      </c>
    </row>
    <row r="431" spans="2:20">
      <c r="B431" s="604">
        <f t="shared" si="83"/>
        <v>2327</v>
      </c>
      <c r="C431" s="297">
        <f t="shared" si="80"/>
        <v>26</v>
      </c>
      <c r="D431" s="297">
        <f t="shared" si="84"/>
        <v>1</v>
      </c>
      <c r="E431" s="297">
        <f t="shared" si="85"/>
        <v>9</v>
      </c>
      <c r="F431" s="298">
        <f t="shared" si="86"/>
        <v>3</v>
      </c>
      <c r="G431" s="298">
        <f t="shared" si="87"/>
        <v>3</v>
      </c>
      <c r="H431" s="298">
        <f t="shared" si="88"/>
        <v>17</v>
      </c>
      <c r="I431" s="298">
        <f t="shared" si="89"/>
        <v>2</v>
      </c>
      <c r="J431" s="298">
        <f t="shared" si="90"/>
        <v>19</v>
      </c>
      <c r="K431" s="299">
        <f t="shared" si="91"/>
        <v>156059</v>
      </c>
      <c r="R431" s="497">
        <f t="shared" si="81"/>
        <v>156059</v>
      </c>
      <c r="T431" s="302">
        <f t="shared" si="82"/>
        <v>156059</v>
      </c>
    </row>
    <row r="432" spans="2:20">
      <c r="B432" s="604">
        <f t="shared" si="83"/>
        <v>2328</v>
      </c>
      <c r="C432" s="297">
        <f t="shared" si="80"/>
        <v>26</v>
      </c>
      <c r="D432" s="297">
        <f t="shared" si="84"/>
        <v>1</v>
      </c>
      <c r="E432" s="297">
        <f t="shared" si="85"/>
        <v>10</v>
      </c>
      <c r="F432" s="298">
        <f t="shared" si="86"/>
        <v>0</v>
      </c>
      <c r="G432" s="298">
        <f t="shared" si="87"/>
        <v>4</v>
      </c>
      <c r="H432" s="298">
        <f t="shared" si="88"/>
        <v>6</v>
      </c>
      <c r="I432" s="298">
        <f t="shared" si="89"/>
        <v>4</v>
      </c>
      <c r="J432" s="298">
        <f t="shared" si="90"/>
        <v>10</v>
      </c>
      <c r="K432" s="299">
        <f t="shared" si="91"/>
        <v>156416</v>
      </c>
      <c r="R432" s="497">
        <f t="shared" si="81"/>
        <v>156416</v>
      </c>
      <c r="T432" s="302">
        <f t="shared" si="82"/>
        <v>156416</v>
      </c>
    </row>
    <row r="433" spans="2:20">
      <c r="B433" s="604">
        <f t="shared" si="83"/>
        <v>2329</v>
      </c>
      <c r="C433" s="297">
        <f t="shared" si="80"/>
        <v>26</v>
      </c>
      <c r="D433" s="297">
        <f t="shared" si="84"/>
        <v>1</v>
      </c>
      <c r="E433" s="297">
        <f t="shared" si="85"/>
        <v>11</v>
      </c>
      <c r="F433" s="298">
        <f t="shared" si="86"/>
        <v>1</v>
      </c>
      <c r="G433" s="298">
        <f t="shared" si="87"/>
        <v>5</v>
      </c>
      <c r="H433" s="298">
        <f t="shared" si="88"/>
        <v>25</v>
      </c>
      <c r="I433" s="298">
        <f t="shared" si="89"/>
        <v>5</v>
      </c>
      <c r="J433" s="298">
        <f t="shared" si="90"/>
        <v>30</v>
      </c>
      <c r="K433" s="299">
        <f t="shared" si="91"/>
        <v>156801</v>
      </c>
      <c r="R433" s="497">
        <f t="shared" si="81"/>
        <v>156801</v>
      </c>
      <c r="T433" s="302">
        <f t="shared" si="82"/>
        <v>156794</v>
      </c>
    </row>
    <row r="434" spans="2:20">
      <c r="B434" s="604">
        <f t="shared" si="83"/>
        <v>2330</v>
      </c>
      <c r="C434" s="297">
        <f t="shared" si="80"/>
        <v>26</v>
      </c>
      <c r="D434" s="297">
        <f t="shared" si="84"/>
        <v>1</v>
      </c>
      <c r="E434" s="297">
        <f t="shared" si="85"/>
        <v>12</v>
      </c>
      <c r="F434" s="298">
        <f t="shared" si="86"/>
        <v>2</v>
      </c>
      <c r="G434" s="298">
        <f t="shared" si="87"/>
        <v>6</v>
      </c>
      <c r="H434" s="298">
        <f t="shared" si="88"/>
        <v>14</v>
      </c>
      <c r="I434" s="298">
        <f t="shared" si="89"/>
        <v>1</v>
      </c>
      <c r="J434" s="298">
        <f t="shared" si="90"/>
        <v>15</v>
      </c>
      <c r="K434" s="299">
        <f t="shared" si="91"/>
        <v>157151</v>
      </c>
      <c r="R434" s="497">
        <f t="shared" si="81"/>
        <v>157151</v>
      </c>
      <c r="T434" s="302">
        <f t="shared" si="82"/>
        <v>157151</v>
      </c>
    </row>
    <row r="435" spans="2:20">
      <c r="B435" s="604">
        <f t="shared" si="83"/>
        <v>2331</v>
      </c>
      <c r="C435" s="297">
        <f t="shared" si="80"/>
        <v>26</v>
      </c>
      <c r="D435" s="297">
        <f t="shared" si="84"/>
        <v>1</v>
      </c>
      <c r="E435" s="297">
        <f t="shared" si="85"/>
        <v>13</v>
      </c>
      <c r="F435" s="298">
        <f t="shared" si="86"/>
        <v>3</v>
      </c>
      <c r="G435" s="298">
        <f t="shared" si="87"/>
        <v>0</v>
      </c>
      <c r="H435" s="298">
        <f t="shared" si="88"/>
        <v>3</v>
      </c>
      <c r="I435" s="298">
        <f t="shared" si="89"/>
        <v>4</v>
      </c>
      <c r="J435" s="298">
        <f t="shared" si="90"/>
        <v>7</v>
      </c>
      <c r="K435" s="299">
        <f t="shared" si="91"/>
        <v>157508</v>
      </c>
      <c r="R435" s="497">
        <f t="shared" si="81"/>
        <v>157508</v>
      </c>
      <c r="T435" s="302">
        <f t="shared" si="82"/>
        <v>157508</v>
      </c>
    </row>
    <row r="436" spans="2:20">
      <c r="B436" s="604">
        <f t="shared" si="83"/>
        <v>2332</v>
      </c>
      <c r="C436" s="297">
        <f t="shared" si="80"/>
        <v>26</v>
      </c>
      <c r="D436" s="297">
        <f t="shared" si="84"/>
        <v>1</v>
      </c>
      <c r="E436" s="297">
        <f t="shared" si="85"/>
        <v>14</v>
      </c>
      <c r="F436" s="298">
        <f t="shared" si="86"/>
        <v>0</v>
      </c>
      <c r="G436" s="298">
        <f t="shared" si="87"/>
        <v>1</v>
      </c>
      <c r="H436" s="298">
        <f t="shared" si="88"/>
        <v>22</v>
      </c>
      <c r="I436" s="298">
        <f t="shared" si="89"/>
        <v>4</v>
      </c>
      <c r="J436" s="298">
        <f t="shared" si="90"/>
        <v>26</v>
      </c>
      <c r="K436" s="299">
        <f t="shared" si="91"/>
        <v>157893</v>
      </c>
      <c r="R436" s="497">
        <f t="shared" si="81"/>
        <v>157893</v>
      </c>
      <c r="T436" s="302">
        <f t="shared" si="82"/>
        <v>157893</v>
      </c>
    </row>
    <row r="437" spans="2:20">
      <c r="B437" s="604">
        <f t="shared" si="83"/>
        <v>2333</v>
      </c>
      <c r="C437" s="297">
        <f t="shared" si="80"/>
        <v>26</v>
      </c>
      <c r="D437" s="297">
        <f t="shared" si="84"/>
        <v>1</v>
      </c>
      <c r="E437" s="297">
        <f t="shared" si="85"/>
        <v>15</v>
      </c>
      <c r="F437" s="298">
        <f t="shared" si="86"/>
        <v>1</v>
      </c>
      <c r="G437" s="298">
        <f t="shared" si="87"/>
        <v>2</v>
      </c>
      <c r="H437" s="298">
        <f t="shared" si="88"/>
        <v>11</v>
      </c>
      <c r="I437" s="298">
        <f t="shared" si="89"/>
        <v>0</v>
      </c>
      <c r="J437" s="298">
        <f t="shared" si="90"/>
        <v>11</v>
      </c>
      <c r="K437" s="299">
        <f t="shared" si="91"/>
        <v>158243</v>
      </c>
      <c r="R437" s="497">
        <f t="shared" si="81"/>
        <v>158243</v>
      </c>
      <c r="T437" s="302">
        <f t="shared" si="82"/>
        <v>158243</v>
      </c>
    </row>
    <row r="438" spans="2:20">
      <c r="B438" s="604">
        <f t="shared" si="83"/>
        <v>2334</v>
      </c>
      <c r="C438" s="297">
        <f t="shared" si="80"/>
        <v>26</v>
      </c>
      <c r="D438" s="297">
        <f t="shared" si="84"/>
        <v>1</v>
      </c>
      <c r="E438" s="297">
        <f t="shared" si="85"/>
        <v>16</v>
      </c>
      <c r="F438" s="298">
        <f t="shared" si="86"/>
        <v>2</v>
      </c>
      <c r="G438" s="298">
        <f t="shared" si="87"/>
        <v>3</v>
      </c>
      <c r="H438" s="298">
        <f t="shared" si="88"/>
        <v>0</v>
      </c>
      <c r="I438" s="298">
        <f t="shared" si="89"/>
        <v>3</v>
      </c>
      <c r="J438" s="298">
        <f t="shared" si="90"/>
        <v>3</v>
      </c>
      <c r="K438" s="299">
        <f t="shared" si="91"/>
        <v>158600</v>
      </c>
      <c r="R438" s="497">
        <f t="shared" si="81"/>
        <v>158600</v>
      </c>
      <c r="T438" s="302">
        <f t="shared" si="82"/>
        <v>158628</v>
      </c>
    </row>
    <row r="439" spans="2:20">
      <c r="B439" s="604">
        <f t="shared" si="83"/>
        <v>2335</v>
      </c>
      <c r="C439" s="297">
        <f t="shared" si="80"/>
        <v>26</v>
      </c>
      <c r="D439" s="297">
        <f t="shared" si="84"/>
        <v>1</v>
      </c>
      <c r="E439" s="297">
        <f t="shared" si="85"/>
        <v>17</v>
      </c>
      <c r="F439" s="298">
        <f t="shared" si="86"/>
        <v>3</v>
      </c>
      <c r="G439" s="298">
        <f t="shared" si="87"/>
        <v>4</v>
      </c>
      <c r="H439" s="298">
        <f t="shared" si="88"/>
        <v>19</v>
      </c>
      <c r="I439" s="298">
        <f t="shared" si="89"/>
        <v>4</v>
      </c>
      <c r="J439" s="298">
        <f t="shared" si="90"/>
        <v>23</v>
      </c>
      <c r="K439" s="299">
        <f t="shared" si="91"/>
        <v>158985</v>
      </c>
      <c r="R439" s="497">
        <f t="shared" si="81"/>
        <v>158985</v>
      </c>
      <c r="T439" s="302">
        <f t="shared" si="82"/>
        <v>158985</v>
      </c>
    </row>
    <row r="440" spans="2:20">
      <c r="B440" s="604">
        <f t="shared" si="83"/>
        <v>2336</v>
      </c>
      <c r="C440" s="297">
        <f t="shared" si="80"/>
        <v>26</v>
      </c>
      <c r="D440" s="297">
        <f t="shared" si="84"/>
        <v>1</v>
      </c>
      <c r="E440" s="297">
        <f t="shared" si="85"/>
        <v>18</v>
      </c>
      <c r="F440" s="298">
        <f t="shared" si="86"/>
        <v>0</v>
      </c>
      <c r="G440" s="298">
        <f t="shared" si="87"/>
        <v>5</v>
      </c>
      <c r="H440" s="298">
        <f t="shared" si="88"/>
        <v>8</v>
      </c>
      <c r="I440" s="298">
        <f t="shared" si="89"/>
        <v>6</v>
      </c>
      <c r="J440" s="298">
        <f t="shared" si="90"/>
        <v>14</v>
      </c>
      <c r="K440" s="299">
        <f t="shared" si="91"/>
        <v>159342</v>
      </c>
      <c r="R440" s="497">
        <f t="shared" si="81"/>
        <v>159342</v>
      </c>
      <c r="T440" s="302">
        <f t="shared" si="82"/>
        <v>159335</v>
      </c>
    </row>
    <row r="441" spans="2:20">
      <c r="B441" s="604">
        <f t="shared" si="83"/>
        <v>2337</v>
      </c>
      <c r="C441" s="297">
        <f t="shared" si="80"/>
        <v>26</v>
      </c>
      <c r="D441" s="297">
        <f t="shared" si="84"/>
        <v>1</v>
      </c>
      <c r="E441" s="297">
        <f t="shared" si="85"/>
        <v>0</v>
      </c>
      <c r="F441" s="298">
        <f t="shared" si="86"/>
        <v>1</v>
      </c>
      <c r="G441" s="298">
        <f t="shared" si="87"/>
        <v>6</v>
      </c>
      <c r="H441" s="298">
        <f t="shared" si="88"/>
        <v>26</v>
      </c>
      <c r="I441" s="298">
        <f t="shared" si="89"/>
        <v>1</v>
      </c>
      <c r="J441" s="298">
        <f t="shared" si="90"/>
        <v>27</v>
      </c>
      <c r="K441" s="299">
        <f t="shared" si="91"/>
        <v>159720</v>
      </c>
      <c r="R441" s="497">
        <f t="shared" si="81"/>
        <v>159720</v>
      </c>
      <c r="T441" s="302">
        <f t="shared" si="82"/>
        <v>159720</v>
      </c>
    </row>
    <row r="442" spans="2:20">
      <c r="B442" s="604">
        <f t="shared" si="83"/>
        <v>2338</v>
      </c>
      <c r="C442" s="297">
        <f t="shared" si="80"/>
        <v>26</v>
      </c>
      <c r="D442" s="297">
        <f t="shared" si="84"/>
        <v>1</v>
      </c>
      <c r="E442" s="297">
        <f t="shared" si="85"/>
        <v>1</v>
      </c>
      <c r="F442" s="298">
        <f t="shared" si="86"/>
        <v>2</v>
      </c>
      <c r="G442" s="298">
        <f t="shared" si="87"/>
        <v>0</v>
      </c>
      <c r="H442" s="298">
        <f t="shared" si="88"/>
        <v>15</v>
      </c>
      <c r="I442" s="298">
        <f t="shared" si="89"/>
        <v>4</v>
      </c>
      <c r="J442" s="298">
        <f t="shared" si="90"/>
        <v>19</v>
      </c>
      <c r="K442" s="299">
        <f t="shared" si="91"/>
        <v>160077</v>
      </c>
      <c r="R442" s="497">
        <f t="shared" si="81"/>
        <v>160077</v>
      </c>
      <c r="T442" s="302">
        <f t="shared" si="82"/>
        <v>160077</v>
      </c>
    </row>
    <row r="443" spans="2:20">
      <c r="B443" s="604">
        <f t="shared" si="83"/>
        <v>2339</v>
      </c>
      <c r="C443" s="297">
        <f t="shared" si="80"/>
        <v>26</v>
      </c>
      <c r="D443" s="297">
        <f t="shared" si="84"/>
        <v>1</v>
      </c>
      <c r="E443" s="297">
        <f t="shared" si="85"/>
        <v>2</v>
      </c>
      <c r="F443" s="298">
        <f t="shared" si="86"/>
        <v>3</v>
      </c>
      <c r="G443" s="298">
        <f t="shared" si="87"/>
        <v>1</v>
      </c>
      <c r="H443" s="298">
        <f t="shared" si="88"/>
        <v>4</v>
      </c>
      <c r="I443" s="298">
        <f t="shared" si="89"/>
        <v>0</v>
      </c>
      <c r="J443" s="298">
        <f t="shared" si="90"/>
        <v>4</v>
      </c>
      <c r="K443" s="299">
        <f t="shared" si="91"/>
        <v>160427</v>
      </c>
      <c r="R443" s="497">
        <f t="shared" si="81"/>
        <v>160427</v>
      </c>
      <c r="T443" s="302">
        <f t="shared" si="82"/>
        <v>160427</v>
      </c>
    </row>
    <row r="444" spans="2:20">
      <c r="B444" s="604">
        <f t="shared" si="83"/>
        <v>2340</v>
      </c>
      <c r="C444" s="297">
        <f t="shared" si="80"/>
        <v>26</v>
      </c>
      <c r="D444" s="297">
        <f t="shared" si="84"/>
        <v>1</v>
      </c>
      <c r="E444" s="297">
        <f t="shared" si="85"/>
        <v>3</v>
      </c>
      <c r="F444" s="298">
        <f t="shared" si="86"/>
        <v>0</v>
      </c>
      <c r="G444" s="298">
        <f t="shared" si="87"/>
        <v>2</v>
      </c>
      <c r="H444" s="298">
        <f t="shared" si="88"/>
        <v>23</v>
      </c>
      <c r="I444" s="298">
        <f t="shared" si="89"/>
        <v>0</v>
      </c>
      <c r="J444" s="298">
        <f t="shared" si="90"/>
        <v>23</v>
      </c>
      <c r="K444" s="299">
        <f t="shared" si="91"/>
        <v>160812</v>
      </c>
      <c r="R444" s="497">
        <f t="shared" si="81"/>
        <v>160812</v>
      </c>
      <c r="T444" s="302">
        <f t="shared" si="82"/>
        <v>160812</v>
      </c>
    </row>
    <row r="445" spans="2:20">
      <c r="B445" s="604">
        <f t="shared" si="83"/>
        <v>2341</v>
      </c>
      <c r="C445" s="297">
        <f t="shared" si="80"/>
        <v>26</v>
      </c>
      <c r="D445" s="297">
        <f t="shared" si="84"/>
        <v>1</v>
      </c>
      <c r="E445" s="297">
        <f t="shared" si="85"/>
        <v>4</v>
      </c>
      <c r="F445" s="298">
        <f t="shared" si="86"/>
        <v>1</v>
      </c>
      <c r="G445" s="298">
        <f t="shared" si="87"/>
        <v>3</v>
      </c>
      <c r="H445" s="298">
        <f t="shared" si="88"/>
        <v>12</v>
      </c>
      <c r="I445" s="298">
        <f t="shared" si="89"/>
        <v>3</v>
      </c>
      <c r="J445" s="298">
        <f t="shared" si="90"/>
        <v>15</v>
      </c>
      <c r="K445" s="299">
        <f t="shared" si="91"/>
        <v>161169</v>
      </c>
      <c r="R445" s="497">
        <f t="shared" si="81"/>
        <v>161169</v>
      </c>
      <c r="T445" s="302">
        <f t="shared" si="82"/>
        <v>161169</v>
      </c>
    </row>
    <row r="446" spans="2:20">
      <c r="B446" s="604">
        <f t="shared" si="83"/>
        <v>2342</v>
      </c>
      <c r="C446" s="297">
        <f t="shared" si="80"/>
        <v>26</v>
      </c>
      <c r="D446" s="297">
        <f t="shared" si="84"/>
        <v>1</v>
      </c>
      <c r="E446" s="297">
        <f t="shared" si="85"/>
        <v>5</v>
      </c>
      <c r="F446" s="298">
        <f t="shared" si="86"/>
        <v>2</v>
      </c>
      <c r="G446" s="298">
        <f t="shared" si="87"/>
        <v>4</v>
      </c>
      <c r="H446" s="298">
        <f t="shared" si="88"/>
        <v>1</v>
      </c>
      <c r="I446" s="298">
        <f t="shared" si="89"/>
        <v>6</v>
      </c>
      <c r="J446" s="298">
        <f t="shared" si="90"/>
        <v>7</v>
      </c>
      <c r="K446" s="299">
        <f t="shared" si="91"/>
        <v>161526</v>
      </c>
      <c r="R446" s="497">
        <f t="shared" si="81"/>
        <v>161526</v>
      </c>
      <c r="T446" s="302">
        <f t="shared" si="82"/>
        <v>161547</v>
      </c>
    </row>
    <row r="447" spans="2:20">
      <c r="B447" s="604">
        <f t="shared" si="83"/>
        <v>2343</v>
      </c>
      <c r="C447" s="297">
        <f t="shared" si="80"/>
        <v>26</v>
      </c>
      <c r="D447" s="297">
        <f t="shared" si="84"/>
        <v>1</v>
      </c>
      <c r="E447" s="297">
        <f t="shared" si="85"/>
        <v>6</v>
      </c>
      <c r="F447" s="298">
        <f t="shared" si="86"/>
        <v>3</v>
      </c>
      <c r="G447" s="298">
        <f t="shared" si="87"/>
        <v>5</v>
      </c>
      <c r="H447" s="298">
        <f t="shared" si="88"/>
        <v>20</v>
      </c>
      <c r="I447" s="298">
        <f t="shared" si="89"/>
        <v>0</v>
      </c>
      <c r="J447" s="298">
        <f t="shared" si="90"/>
        <v>20</v>
      </c>
      <c r="K447" s="299">
        <f t="shared" si="91"/>
        <v>161904</v>
      </c>
      <c r="R447" s="497">
        <f t="shared" si="81"/>
        <v>161904</v>
      </c>
      <c r="T447" s="302">
        <f t="shared" si="82"/>
        <v>161904</v>
      </c>
    </row>
    <row r="448" spans="2:20">
      <c r="B448" s="604">
        <f t="shared" si="83"/>
        <v>2344</v>
      </c>
      <c r="C448" s="297">
        <f t="shared" si="80"/>
        <v>26</v>
      </c>
      <c r="D448" s="297">
        <f t="shared" si="84"/>
        <v>1</v>
      </c>
      <c r="E448" s="297">
        <f t="shared" si="85"/>
        <v>7</v>
      </c>
      <c r="F448" s="298">
        <f t="shared" si="86"/>
        <v>0</v>
      </c>
      <c r="G448" s="298">
        <f t="shared" si="87"/>
        <v>6</v>
      </c>
      <c r="H448" s="298">
        <f t="shared" si="88"/>
        <v>9</v>
      </c>
      <c r="I448" s="298">
        <f t="shared" si="89"/>
        <v>2</v>
      </c>
      <c r="J448" s="298">
        <f t="shared" si="90"/>
        <v>11</v>
      </c>
      <c r="K448" s="299">
        <f t="shared" si="91"/>
        <v>162261</v>
      </c>
      <c r="R448" s="497">
        <f t="shared" si="81"/>
        <v>162261</v>
      </c>
      <c r="T448" s="302">
        <f t="shared" si="82"/>
        <v>162261</v>
      </c>
    </row>
    <row r="449" spans="2:20">
      <c r="B449" s="604">
        <f t="shared" si="83"/>
        <v>2345</v>
      </c>
      <c r="C449" s="297">
        <f t="shared" si="80"/>
        <v>26</v>
      </c>
      <c r="D449" s="297">
        <f t="shared" si="84"/>
        <v>1</v>
      </c>
      <c r="E449" s="297">
        <f t="shared" si="85"/>
        <v>8</v>
      </c>
      <c r="F449" s="298">
        <f t="shared" si="86"/>
        <v>1</v>
      </c>
      <c r="G449" s="298">
        <f t="shared" si="87"/>
        <v>0</v>
      </c>
      <c r="H449" s="298">
        <f t="shared" si="88"/>
        <v>28</v>
      </c>
      <c r="I449" s="298">
        <f t="shared" si="89"/>
        <v>3</v>
      </c>
      <c r="J449" s="298">
        <f t="shared" si="90"/>
        <v>31</v>
      </c>
      <c r="K449" s="299">
        <f t="shared" si="91"/>
        <v>162646</v>
      </c>
      <c r="R449" s="497">
        <f t="shared" si="81"/>
        <v>162646</v>
      </c>
      <c r="T449" s="302">
        <f t="shared" si="82"/>
        <v>162646</v>
      </c>
    </row>
    <row r="450" spans="2:20">
      <c r="B450" s="604">
        <f t="shared" si="83"/>
        <v>2346</v>
      </c>
      <c r="C450" s="297">
        <f t="shared" si="80"/>
        <v>26</v>
      </c>
      <c r="D450" s="297">
        <f t="shared" si="84"/>
        <v>1</v>
      </c>
      <c r="E450" s="297">
        <f t="shared" si="85"/>
        <v>9</v>
      </c>
      <c r="F450" s="298">
        <f t="shared" si="86"/>
        <v>2</v>
      </c>
      <c r="G450" s="298">
        <f t="shared" si="87"/>
        <v>1</v>
      </c>
      <c r="H450" s="298">
        <f t="shared" si="88"/>
        <v>17</v>
      </c>
      <c r="I450" s="298">
        <f t="shared" si="89"/>
        <v>6</v>
      </c>
      <c r="J450" s="298">
        <f t="shared" si="90"/>
        <v>23</v>
      </c>
      <c r="K450" s="299">
        <f t="shared" si="91"/>
        <v>163003</v>
      </c>
      <c r="R450" s="497">
        <f t="shared" si="81"/>
        <v>163003</v>
      </c>
      <c r="T450" s="302">
        <f t="shared" si="82"/>
        <v>162996</v>
      </c>
    </row>
    <row r="451" spans="2:20">
      <c r="B451" s="604">
        <f t="shared" si="83"/>
        <v>2347</v>
      </c>
      <c r="C451" s="297">
        <f t="shared" si="80"/>
        <v>26</v>
      </c>
      <c r="D451" s="297">
        <f t="shared" si="84"/>
        <v>1</v>
      </c>
      <c r="E451" s="297">
        <f t="shared" si="85"/>
        <v>10</v>
      </c>
      <c r="F451" s="298">
        <f t="shared" si="86"/>
        <v>3</v>
      </c>
      <c r="G451" s="298">
        <f t="shared" si="87"/>
        <v>2</v>
      </c>
      <c r="H451" s="298">
        <f t="shared" si="88"/>
        <v>6</v>
      </c>
      <c r="I451" s="298">
        <f t="shared" si="89"/>
        <v>2</v>
      </c>
      <c r="J451" s="298">
        <f t="shared" si="90"/>
        <v>8</v>
      </c>
      <c r="K451" s="299">
        <f t="shared" si="91"/>
        <v>163353</v>
      </c>
      <c r="R451" s="497">
        <f t="shared" si="81"/>
        <v>163353</v>
      </c>
      <c r="T451" s="302">
        <f t="shared" si="82"/>
        <v>163353</v>
      </c>
    </row>
    <row r="452" spans="2:20">
      <c r="B452" s="604">
        <f t="shared" si="83"/>
        <v>2348</v>
      </c>
      <c r="C452" s="297">
        <f t="shared" si="80"/>
        <v>26</v>
      </c>
      <c r="D452" s="297">
        <f t="shared" si="84"/>
        <v>1</v>
      </c>
      <c r="E452" s="297">
        <f t="shared" si="85"/>
        <v>11</v>
      </c>
      <c r="F452" s="298">
        <f t="shared" si="86"/>
        <v>0</v>
      </c>
      <c r="G452" s="298">
        <f t="shared" si="87"/>
        <v>3</v>
      </c>
      <c r="H452" s="298">
        <f t="shared" si="88"/>
        <v>25</v>
      </c>
      <c r="I452" s="298">
        <f t="shared" si="89"/>
        <v>2</v>
      </c>
      <c r="J452" s="298">
        <f t="shared" si="90"/>
        <v>27</v>
      </c>
      <c r="K452" s="299">
        <f t="shared" si="91"/>
        <v>163738</v>
      </c>
      <c r="R452" s="497">
        <f t="shared" si="81"/>
        <v>163738</v>
      </c>
      <c r="T452" s="302">
        <f t="shared" si="82"/>
        <v>163738</v>
      </c>
    </row>
    <row r="453" spans="2:20">
      <c r="B453" s="604">
        <f t="shared" si="83"/>
        <v>2349</v>
      </c>
      <c r="C453" s="297">
        <f t="shared" ref="C453:C516" si="92">VLOOKUP(B453,$M$4:$P$86,3,TRUE)</f>
        <v>26</v>
      </c>
      <c r="D453" s="297">
        <f t="shared" si="84"/>
        <v>1</v>
      </c>
      <c r="E453" s="297">
        <f t="shared" si="85"/>
        <v>12</v>
      </c>
      <c r="F453" s="298">
        <f t="shared" si="86"/>
        <v>1</v>
      </c>
      <c r="G453" s="298">
        <f t="shared" si="87"/>
        <v>4</v>
      </c>
      <c r="H453" s="298">
        <f t="shared" si="88"/>
        <v>14</v>
      </c>
      <c r="I453" s="298">
        <f t="shared" si="89"/>
        <v>5</v>
      </c>
      <c r="J453" s="298">
        <f t="shared" si="90"/>
        <v>19</v>
      </c>
      <c r="K453" s="299">
        <f t="shared" si="91"/>
        <v>164095</v>
      </c>
      <c r="R453" s="497">
        <f t="shared" ref="R453:R516" si="93">IF(MOD(19*MOD(B453,19)+C453,30)+MOD(2*MOD(B453,4)+4*MOD(B453,7)+6*MOD(19*MOD(B453,19)+C453,30)+D453,7)-9&lt;=0,DATE(B453,3,22+MOD(19*MOD(B453,19)+C453,30)+MOD(2*MOD(B453,4)+4*MOD(B453,7)+6*MOD(19*MOD(B453,19)+C453,30)+D453,7)),DATE(B453,4,MOD(19*MOD(B453,19)+C453,30)+MOD(2*MOD(B453,4)+4*MOD(B453,7)+6*MOD(19*MOD(B453,19)+C453,30)+D453,7)-9))</f>
        <v>164095</v>
      </c>
      <c r="T453" s="302">
        <f t="shared" ref="T453:T516" si="94">DOLLAR(("4/"&amp;B453)/7+MOD(19*MOD(B453,19)-7,30)*14%,)*7-6</f>
        <v>164088</v>
      </c>
    </row>
    <row r="454" spans="2:20">
      <c r="B454" s="604">
        <f t="shared" ref="B454:B517" si="95">B453+1</f>
        <v>2350</v>
      </c>
      <c r="C454" s="297">
        <f t="shared" si="92"/>
        <v>26</v>
      </c>
      <c r="D454" s="297">
        <f t="shared" si="84"/>
        <v>1</v>
      </c>
      <c r="E454" s="297">
        <f t="shared" si="85"/>
        <v>13</v>
      </c>
      <c r="F454" s="298">
        <f t="shared" si="86"/>
        <v>2</v>
      </c>
      <c r="G454" s="298">
        <f t="shared" si="87"/>
        <v>5</v>
      </c>
      <c r="H454" s="298">
        <f t="shared" si="88"/>
        <v>3</v>
      </c>
      <c r="I454" s="298">
        <f t="shared" si="89"/>
        <v>1</v>
      </c>
      <c r="J454" s="298">
        <f t="shared" si="90"/>
        <v>4</v>
      </c>
      <c r="K454" s="299">
        <f t="shared" si="91"/>
        <v>164445</v>
      </c>
      <c r="R454" s="497">
        <f t="shared" si="93"/>
        <v>164445</v>
      </c>
      <c r="T454" s="302">
        <f t="shared" si="94"/>
        <v>164445</v>
      </c>
    </row>
    <row r="455" spans="2:20">
      <c r="B455" s="604">
        <f t="shared" si="95"/>
        <v>2351</v>
      </c>
      <c r="C455" s="297">
        <f t="shared" si="92"/>
        <v>26</v>
      </c>
      <c r="D455" s="297">
        <f t="shared" si="84"/>
        <v>1</v>
      </c>
      <c r="E455" s="297">
        <f t="shared" si="85"/>
        <v>14</v>
      </c>
      <c r="F455" s="298">
        <f t="shared" si="86"/>
        <v>3</v>
      </c>
      <c r="G455" s="298">
        <f t="shared" si="87"/>
        <v>6</v>
      </c>
      <c r="H455" s="298">
        <f t="shared" si="88"/>
        <v>22</v>
      </c>
      <c r="I455" s="298">
        <f t="shared" si="89"/>
        <v>2</v>
      </c>
      <c r="J455" s="298">
        <f t="shared" si="90"/>
        <v>24</v>
      </c>
      <c r="K455" s="299">
        <f t="shared" si="91"/>
        <v>164830</v>
      </c>
      <c r="R455" s="497">
        <f t="shared" si="93"/>
        <v>164830</v>
      </c>
      <c r="T455" s="302">
        <f t="shared" si="94"/>
        <v>164830</v>
      </c>
    </row>
    <row r="456" spans="2:20">
      <c r="B456" s="604">
        <f t="shared" si="95"/>
        <v>2352</v>
      </c>
      <c r="C456" s="297">
        <f t="shared" si="92"/>
        <v>26</v>
      </c>
      <c r="D456" s="297">
        <f t="shared" si="84"/>
        <v>1</v>
      </c>
      <c r="E456" s="297">
        <f t="shared" si="85"/>
        <v>15</v>
      </c>
      <c r="F456" s="298">
        <f t="shared" si="86"/>
        <v>0</v>
      </c>
      <c r="G456" s="298">
        <f t="shared" si="87"/>
        <v>0</v>
      </c>
      <c r="H456" s="298">
        <f t="shared" si="88"/>
        <v>11</v>
      </c>
      <c r="I456" s="298">
        <f t="shared" si="89"/>
        <v>4</v>
      </c>
      <c r="J456" s="298">
        <f t="shared" si="90"/>
        <v>15</v>
      </c>
      <c r="K456" s="299">
        <f t="shared" si="91"/>
        <v>165187</v>
      </c>
      <c r="R456" s="497">
        <f t="shared" si="93"/>
        <v>165187</v>
      </c>
      <c r="T456" s="302">
        <f t="shared" si="94"/>
        <v>165187</v>
      </c>
    </row>
    <row r="457" spans="2:20">
      <c r="B457" s="604">
        <f t="shared" si="95"/>
        <v>2353</v>
      </c>
      <c r="C457" s="297">
        <f t="shared" si="92"/>
        <v>26</v>
      </c>
      <c r="D457" s="297">
        <f t="shared" si="84"/>
        <v>1</v>
      </c>
      <c r="E457" s="297">
        <f t="shared" si="85"/>
        <v>16</v>
      </c>
      <c r="F457" s="298">
        <f t="shared" si="86"/>
        <v>1</v>
      </c>
      <c r="G457" s="298">
        <f t="shared" si="87"/>
        <v>1</v>
      </c>
      <c r="H457" s="298">
        <f t="shared" si="88"/>
        <v>0</v>
      </c>
      <c r="I457" s="298">
        <f t="shared" si="89"/>
        <v>0</v>
      </c>
      <c r="J457" s="298">
        <f t="shared" si="90"/>
        <v>0</v>
      </c>
      <c r="K457" s="299">
        <f t="shared" si="91"/>
        <v>165537</v>
      </c>
      <c r="R457" s="497">
        <f t="shared" si="93"/>
        <v>165537</v>
      </c>
      <c r="T457" s="302">
        <f t="shared" si="94"/>
        <v>165565</v>
      </c>
    </row>
    <row r="458" spans="2:20">
      <c r="B458" s="604">
        <f t="shared" si="95"/>
        <v>2354</v>
      </c>
      <c r="C458" s="297">
        <f t="shared" si="92"/>
        <v>26</v>
      </c>
      <c r="D458" s="297">
        <f t="shared" ref="D458:D521" si="96">VLOOKUP(B458,$M$4:$P$86,4,TRUE)</f>
        <v>1</v>
      </c>
      <c r="E458" s="297">
        <f t="shared" ref="E458:E521" si="97">MOD(B458,19)</f>
        <v>17</v>
      </c>
      <c r="F458" s="298">
        <f t="shared" ref="F458:F521" si="98">MOD(B458,4)</f>
        <v>2</v>
      </c>
      <c r="G458" s="298">
        <f t="shared" ref="G458:G521" si="99">MOD(B458,7)</f>
        <v>2</v>
      </c>
      <c r="H458" s="298">
        <f t="shared" ref="H458:H521" si="100">MOD(19*E458+C458,30)</f>
        <v>19</v>
      </c>
      <c r="I458" s="298">
        <f t="shared" ref="I458:I521" si="101">MOD(2*F458+4*G458+6*H458+D458,7)</f>
        <v>1</v>
      </c>
      <c r="J458" s="298">
        <f t="shared" ref="J458:J521" si="102">H458+I458</f>
        <v>20</v>
      </c>
      <c r="K458" s="299">
        <f t="shared" ref="K458:K521" si="103">IF(J458&lt;10,DATE(B458,3,J458+22),IF(J458-9=26,DATE(B458,4,19),IF(AND(J458-9=25,H458=28,I458=6,E458&gt;10),DATE(B458,4,18),DATE(B458,4,J458-9))))</f>
        <v>165922</v>
      </c>
      <c r="R458" s="497">
        <f t="shared" si="93"/>
        <v>165922</v>
      </c>
      <c r="T458" s="302">
        <f t="shared" si="94"/>
        <v>165922</v>
      </c>
    </row>
    <row r="459" spans="2:20">
      <c r="B459" s="604">
        <f t="shared" si="95"/>
        <v>2355</v>
      </c>
      <c r="C459" s="297">
        <f t="shared" si="92"/>
        <v>26</v>
      </c>
      <c r="D459" s="297">
        <f t="shared" si="96"/>
        <v>1</v>
      </c>
      <c r="E459" s="297">
        <f t="shared" si="97"/>
        <v>18</v>
      </c>
      <c r="F459" s="298">
        <f t="shared" si="98"/>
        <v>3</v>
      </c>
      <c r="G459" s="298">
        <f t="shared" si="99"/>
        <v>3</v>
      </c>
      <c r="H459" s="298">
        <f t="shared" si="100"/>
        <v>8</v>
      </c>
      <c r="I459" s="298">
        <f t="shared" si="101"/>
        <v>4</v>
      </c>
      <c r="J459" s="298">
        <f t="shared" si="102"/>
        <v>12</v>
      </c>
      <c r="K459" s="299">
        <f t="shared" si="103"/>
        <v>166279</v>
      </c>
      <c r="R459" s="497">
        <f t="shared" si="93"/>
        <v>166279</v>
      </c>
      <c r="T459" s="302">
        <f t="shared" si="94"/>
        <v>166279</v>
      </c>
    </row>
    <row r="460" spans="2:20">
      <c r="B460" s="604">
        <f t="shared" si="95"/>
        <v>2356</v>
      </c>
      <c r="C460" s="297">
        <f t="shared" si="92"/>
        <v>26</v>
      </c>
      <c r="D460" s="297">
        <f t="shared" si="96"/>
        <v>1</v>
      </c>
      <c r="E460" s="297">
        <f t="shared" si="97"/>
        <v>0</v>
      </c>
      <c r="F460" s="298">
        <f t="shared" si="98"/>
        <v>0</v>
      </c>
      <c r="G460" s="298">
        <f t="shared" si="99"/>
        <v>4</v>
      </c>
      <c r="H460" s="298">
        <f t="shared" si="100"/>
        <v>26</v>
      </c>
      <c r="I460" s="298">
        <f t="shared" si="101"/>
        <v>5</v>
      </c>
      <c r="J460" s="298">
        <f t="shared" si="102"/>
        <v>31</v>
      </c>
      <c r="K460" s="299">
        <f t="shared" si="103"/>
        <v>166664</v>
      </c>
      <c r="R460" s="497">
        <f t="shared" si="93"/>
        <v>166664</v>
      </c>
      <c r="T460" s="302">
        <f t="shared" si="94"/>
        <v>166657</v>
      </c>
    </row>
    <row r="461" spans="2:20">
      <c r="B461" s="604">
        <f t="shared" si="95"/>
        <v>2357</v>
      </c>
      <c r="C461" s="297">
        <f t="shared" si="92"/>
        <v>26</v>
      </c>
      <c r="D461" s="297">
        <f t="shared" si="96"/>
        <v>1</v>
      </c>
      <c r="E461" s="297">
        <f t="shared" si="97"/>
        <v>1</v>
      </c>
      <c r="F461" s="298">
        <f t="shared" si="98"/>
        <v>1</v>
      </c>
      <c r="G461" s="298">
        <f t="shared" si="99"/>
        <v>5</v>
      </c>
      <c r="H461" s="298">
        <f t="shared" si="100"/>
        <v>15</v>
      </c>
      <c r="I461" s="298">
        <f t="shared" si="101"/>
        <v>1</v>
      </c>
      <c r="J461" s="298">
        <f t="shared" si="102"/>
        <v>16</v>
      </c>
      <c r="K461" s="299">
        <f t="shared" si="103"/>
        <v>167014</v>
      </c>
      <c r="R461" s="497">
        <f t="shared" si="93"/>
        <v>167014</v>
      </c>
      <c r="T461" s="302">
        <f t="shared" si="94"/>
        <v>167014</v>
      </c>
    </row>
    <row r="462" spans="2:20">
      <c r="B462" s="604">
        <f t="shared" si="95"/>
        <v>2358</v>
      </c>
      <c r="C462" s="297">
        <f t="shared" si="92"/>
        <v>26</v>
      </c>
      <c r="D462" s="297">
        <f t="shared" si="96"/>
        <v>1</v>
      </c>
      <c r="E462" s="297">
        <f t="shared" si="97"/>
        <v>2</v>
      </c>
      <c r="F462" s="298">
        <f t="shared" si="98"/>
        <v>2</v>
      </c>
      <c r="G462" s="298">
        <f t="shared" si="99"/>
        <v>6</v>
      </c>
      <c r="H462" s="298">
        <f t="shared" si="100"/>
        <v>4</v>
      </c>
      <c r="I462" s="298">
        <f t="shared" si="101"/>
        <v>4</v>
      </c>
      <c r="J462" s="298">
        <f t="shared" si="102"/>
        <v>8</v>
      </c>
      <c r="K462" s="299">
        <f t="shared" si="103"/>
        <v>167371</v>
      </c>
      <c r="R462" s="497">
        <f t="shared" si="93"/>
        <v>167371</v>
      </c>
      <c r="T462" s="302">
        <f t="shared" si="94"/>
        <v>167371</v>
      </c>
    </row>
    <row r="463" spans="2:20">
      <c r="B463" s="604">
        <f t="shared" si="95"/>
        <v>2359</v>
      </c>
      <c r="C463" s="297">
        <f t="shared" si="92"/>
        <v>26</v>
      </c>
      <c r="D463" s="297">
        <f t="shared" si="96"/>
        <v>1</v>
      </c>
      <c r="E463" s="297">
        <f t="shared" si="97"/>
        <v>3</v>
      </c>
      <c r="F463" s="298">
        <f t="shared" si="98"/>
        <v>3</v>
      </c>
      <c r="G463" s="298">
        <f t="shared" si="99"/>
        <v>0</v>
      </c>
      <c r="H463" s="298">
        <f t="shared" si="100"/>
        <v>23</v>
      </c>
      <c r="I463" s="298">
        <f t="shared" si="101"/>
        <v>5</v>
      </c>
      <c r="J463" s="298">
        <f t="shared" si="102"/>
        <v>28</v>
      </c>
      <c r="K463" s="299">
        <f t="shared" si="103"/>
        <v>167756</v>
      </c>
      <c r="R463" s="497">
        <f t="shared" si="93"/>
        <v>167756</v>
      </c>
      <c r="T463" s="302">
        <f t="shared" si="94"/>
        <v>167749</v>
      </c>
    </row>
    <row r="464" spans="2:20">
      <c r="B464" s="604">
        <f t="shared" si="95"/>
        <v>2360</v>
      </c>
      <c r="C464" s="297">
        <f t="shared" si="92"/>
        <v>26</v>
      </c>
      <c r="D464" s="297">
        <f t="shared" si="96"/>
        <v>1</v>
      </c>
      <c r="E464" s="297">
        <f t="shared" si="97"/>
        <v>4</v>
      </c>
      <c r="F464" s="298">
        <f t="shared" si="98"/>
        <v>0</v>
      </c>
      <c r="G464" s="298">
        <f t="shared" si="99"/>
        <v>1</v>
      </c>
      <c r="H464" s="298">
        <f t="shared" si="100"/>
        <v>12</v>
      </c>
      <c r="I464" s="298">
        <f t="shared" si="101"/>
        <v>0</v>
      </c>
      <c r="J464" s="298">
        <f t="shared" si="102"/>
        <v>12</v>
      </c>
      <c r="K464" s="299">
        <f t="shared" si="103"/>
        <v>168106</v>
      </c>
      <c r="R464" s="497">
        <f t="shared" si="93"/>
        <v>168106</v>
      </c>
      <c r="T464" s="302">
        <f t="shared" si="94"/>
        <v>168106</v>
      </c>
    </row>
    <row r="465" spans="2:20">
      <c r="B465" s="604">
        <f t="shared" si="95"/>
        <v>2361</v>
      </c>
      <c r="C465" s="297">
        <f t="shared" si="92"/>
        <v>26</v>
      </c>
      <c r="D465" s="297">
        <f t="shared" si="96"/>
        <v>1</v>
      </c>
      <c r="E465" s="297">
        <f t="shared" si="97"/>
        <v>5</v>
      </c>
      <c r="F465" s="298">
        <f t="shared" si="98"/>
        <v>1</v>
      </c>
      <c r="G465" s="298">
        <f t="shared" si="99"/>
        <v>2</v>
      </c>
      <c r="H465" s="298">
        <f t="shared" si="100"/>
        <v>1</v>
      </c>
      <c r="I465" s="298">
        <f t="shared" si="101"/>
        <v>3</v>
      </c>
      <c r="J465" s="298">
        <f t="shared" si="102"/>
        <v>4</v>
      </c>
      <c r="K465" s="299">
        <f t="shared" si="103"/>
        <v>168463</v>
      </c>
      <c r="R465" s="497">
        <f t="shared" si="93"/>
        <v>168463</v>
      </c>
      <c r="T465" s="302">
        <f t="shared" si="94"/>
        <v>168491</v>
      </c>
    </row>
    <row r="466" spans="2:20">
      <c r="B466" s="604">
        <f t="shared" si="95"/>
        <v>2362</v>
      </c>
      <c r="C466" s="297">
        <f t="shared" si="92"/>
        <v>26</v>
      </c>
      <c r="D466" s="297">
        <f t="shared" si="96"/>
        <v>1</v>
      </c>
      <c r="E466" s="297">
        <f t="shared" si="97"/>
        <v>6</v>
      </c>
      <c r="F466" s="298">
        <f t="shared" si="98"/>
        <v>2</v>
      </c>
      <c r="G466" s="298">
        <f t="shared" si="99"/>
        <v>3</v>
      </c>
      <c r="H466" s="298">
        <f t="shared" si="100"/>
        <v>20</v>
      </c>
      <c r="I466" s="298">
        <f t="shared" si="101"/>
        <v>4</v>
      </c>
      <c r="J466" s="298">
        <f t="shared" si="102"/>
        <v>24</v>
      </c>
      <c r="K466" s="299">
        <f t="shared" si="103"/>
        <v>168848</v>
      </c>
      <c r="R466" s="497">
        <f t="shared" si="93"/>
        <v>168848</v>
      </c>
      <c r="T466" s="302">
        <f t="shared" si="94"/>
        <v>168848</v>
      </c>
    </row>
    <row r="467" spans="2:20">
      <c r="B467" s="604">
        <f t="shared" si="95"/>
        <v>2363</v>
      </c>
      <c r="C467" s="297">
        <f t="shared" si="92"/>
        <v>26</v>
      </c>
      <c r="D467" s="297">
        <f t="shared" si="96"/>
        <v>1</v>
      </c>
      <c r="E467" s="297">
        <f t="shared" si="97"/>
        <v>7</v>
      </c>
      <c r="F467" s="298">
        <f t="shared" si="98"/>
        <v>3</v>
      </c>
      <c r="G467" s="298">
        <f t="shared" si="99"/>
        <v>4</v>
      </c>
      <c r="H467" s="298">
        <f t="shared" si="100"/>
        <v>9</v>
      </c>
      <c r="I467" s="298">
        <f t="shared" si="101"/>
        <v>0</v>
      </c>
      <c r="J467" s="298">
        <f t="shared" si="102"/>
        <v>9</v>
      </c>
      <c r="K467" s="299">
        <f t="shared" si="103"/>
        <v>169198</v>
      </c>
      <c r="R467" s="497">
        <f t="shared" si="93"/>
        <v>169198</v>
      </c>
      <c r="T467" s="302">
        <f t="shared" si="94"/>
        <v>169198</v>
      </c>
    </row>
    <row r="468" spans="2:20">
      <c r="B468" s="604">
        <f t="shared" si="95"/>
        <v>2364</v>
      </c>
      <c r="C468" s="297">
        <f t="shared" si="92"/>
        <v>26</v>
      </c>
      <c r="D468" s="297">
        <f t="shared" si="96"/>
        <v>1</v>
      </c>
      <c r="E468" s="297">
        <f t="shared" si="97"/>
        <v>8</v>
      </c>
      <c r="F468" s="298">
        <f t="shared" si="98"/>
        <v>0</v>
      </c>
      <c r="G468" s="298">
        <f t="shared" si="99"/>
        <v>5</v>
      </c>
      <c r="H468" s="298">
        <f t="shared" si="100"/>
        <v>28</v>
      </c>
      <c r="I468" s="298">
        <f t="shared" si="101"/>
        <v>0</v>
      </c>
      <c r="J468" s="298">
        <f t="shared" si="102"/>
        <v>28</v>
      </c>
      <c r="K468" s="299">
        <f t="shared" si="103"/>
        <v>169583</v>
      </c>
      <c r="R468" s="497">
        <f t="shared" si="93"/>
        <v>169583</v>
      </c>
      <c r="T468" s="302">
        <f t="shared" si="94"/>
        <v>169583</v>
      </c>
    </row>
    <row r="469" spans="2:20">
      <c r="B469" s="604">
        <f t="shared" si="95"/>
        <v>2365</v>
      </c>
      <c r="C469" s="297">
        <f t="shared" si="92"/>
        <v>26</v>
      </c>
      <c r="D469" s="297">
        <f t="shared" si="96"/>
        <v>1</v>
      </c>
      <c r="E469" s="297">
        <f t="shared" si="97"/>
        <v>9</v>
      </c>
      <c r="F469" s="298">
        <f t="shared" si="98"/>
        <v>1</v>
      </c>
      <c r="G469" s="298">
        <f t="shared" si="99"/>
        <v>6</v>
      </c>
      <c r="H469" s="298">
        <f t="shared" si="100"/>
        <v>17</v>
      </c>
      <c r="I469" s="298">
        <f t="shared" si="101"/>
        <v>3</v>
      </c>
      <c r="J469" s="298">
        <f t="shared" si="102"/>
        <v>20</v>
      </c>
      <c r="K469" s="299">
        <f t="shared" si="103"/>
        <v>169940</v>
      </c>
      <c r="R469" s="497">
        <f t="shared" si="93"/>
        <v>169940</v>
      </c>
      <c r="T469" s="302">
        <f t="shared" si="94"/>
        <v>169940</v>
      </c>
    </row>
    <row r="470" spans="2:20">
      <c r="B470" s="604">
        <f t="shared" si="95"/>
        <v>2366</v>
      </c>
      <c r="C470" s="297">
        <f t="shared" si="92"/>
        <v>26</v>
      </c>
      <c r="D470" s="297">
        <f t="shared" si="96"/>
        <v>1</v>
      </c>
      <c r="E470" s="297">
        <f t="shared" si="97"/>
        <v>10</v>
      </c>
      <c r="F470" s="298">
        <f t="shared" si="98"/>
        <v>2</v>
      </c>
      <c r="G470" s="298">
        <f t="shared" si="99"/>
        <v>0</v>
      </c>
      <c r="H470" s="298">
        <f t="shared" si="100"/>
        <v>6</v>
      </c>
      <c r="I470" s="298">
        <f t="shared" si="101"/>
        <v>6</v>
      </c>
      <c r="J470" s="298">
        <f t="shared" si="102"/>
        <v>12</v>
      </c>
      <c r="K470" s="299">
        <f t="shared" si="103"/>
        <v>170297</v>
      </c>
      <c r="R470" s="497">
        <f t="shared" si="93"/>
        <v>170297</v>
      </c>
      <c r="T470" s="302">
        <f t="shared" si="94"/>
        <v>170290</v>
      </c>
    </row>
    <row r="471" spans="2:20">
      <c r="B471" s="604">
        <f t="shared" si="95"/>
        <v>2367</v>
      </c>
      <c r="C471" s="297">
        <f t="shared" si="92"/>
        <v>26</v>
      </c>
      <c r="D471" s="297">
        <f t="shared" si="96"/>
        <v>1</v>
      </c>
      <c r="E471" s="297">
        <f t="shared" si="97"/>
        <v>11</v>
      </c>
      <c r="F471" s="298">
        <f t="shared" si="98"/>
        <v>3</v>
      </c>
      <c r="G471" s="298">
        <f t="shared" si="99"/>
        <v>1</v>
      </c>
      <c r="H471" s="298">
        <f t="shared" si="100"/>
        <v>25</v>
      </c>
      <c r="I471" s="298">
        <f t="shared" si="101"/>
        <v>0</v>
      </c>
      <c r="J471" s="298">
        <f t="shared" si="102"/>
        <v>25</v>
      </c>
      <c r="K471" s="299">
        <f t="shared" si="103"/>
        <v>170675</v>
      </c>
      <c r="R471" s="497">
        <f t="shared" si="93"/>
        <v>170675</v>
      </c>
      <c r="T471" s="302">
        <f t="shared" si="94"/>
        <v>170675</v>
      </c>
    </row>
    <row r="472" spans="2:20">
      <c r="B472" s="604">
        <f t="shared" si="95"/>
        <v>2368</v>
      </c>
      <c r="C472" s="297">
        <f t="shared" si="92"/>
        <v>26</v>
      </c>
      <c r="D472" s="297">
        <f t="shared" si="96"/>
        <v>1</v>
      </c>
      <c r="E472" s="297">
        <f t="shared" si="97"/>
        <v>12</v>
      </c>
      <c r="F472" s="298">
        <f t="shared" si="98"/>
        <v>0</v>
      </c>
      <c r="G472" s="298">
        <f t="shared" si="99"/>
        <v>2</v>
      </c>
      <c r="H472" s="298">
        <f t="shared" si="100"/>
        <v>14</v>
      </c>
      <c r="I472" s="298">
        <f t="shared" si="101"/>
        <v>2</v>
      </c>
      <c r="J472" s="298">
        <f t="shared" si="102"/>
        <v>16</v>
      </c>
      <c r="K472" s="299">
        <f t="shared" si="103"/>
        <v>171032</v>
      </c>
      <c r="R472" s="497">
        <f t="shared" si="93"/>
        <v>171032</v>
      </c>
      <c r="T472" s="302">
        <f t="shared" si="94"/>
        <v>171032</v>
      </c>
    </row>
    <row r="473" spans="2:20">
      <c r="B473" s="604">
        <f t="shared" si="95"/>
        <v>2369</v>
      </c>
      <c r="C473" s="297">
        <f t="shared" si="92"/>
        <v>26</v>
      </c>
      <c r="D473" s="297">
        <f t="shared" si="96"/>
        <v>1</v>
      </c>
      <c r="E473" s="297">
        <f t="shared" si="97"/>
        <v>13</v>
      </c>
      <c r="F473" s="298">
        <f t="shared" si="98"/>
        <v>1</v>
      </c>
      <c r="G473" s="298">
        <f t="shared" si="99"/>
        <v>3</v>
      </c>
      <c r="H473" s="298">
        <f t="shared" si="100"/>
        <v>3</v>
      </c>
      <c r="I473" s="298">
        <f t="shared" si="101"/>
        <v>5</v>
      </c>
      <c r="J473" s="298">
        <f t="shared" si="102"/>
        <v>8</v>
      </c>
      <c r="K473" s="299">
        <f t="shared" si="103"/>
        <v>171389</v>
      </c>
      <c r="R473" s="497">
        <f t="shared" si="93"/>
        <v>171389</v>
      </c>
      <c r="T473" s="302">
        <f t="shared" si="94"/>
        <v>171382</v>
      </c>
    </row>
    <row r="474" spans="2:20">
      <c r="B474" s="604">
        <f t="shared" si="95"/>
        <v>2370</v>
      </c>
      <c r="C474" s="297">
        <f t="shared" si="92"/>
        <v>26</v>
      </c>
      <c r="D474" s="297">
        <f t="shared" si="96"/>
        <v>1</v>
      </c>
      <c r="E474" s="297">
        <f t="shared" si="97"/>
        <v>14</v>
      </c>
      <c r="F474" s="298">
        <f t="shared" si="98"/>
        <v>2</v>
      </c>
      <c r="G474" s="298">
        <f t="shared" si="99"/>
        <v>4</v>
      </c>
      <c r="H474" s="298">
        <f t="shared" si="100"/>
        <v>22</v>
      </c>
      <c r="I474" s="298">
        <f t="shared" si="101"/>
        <v>6</v>
      </c>
      <c r="J474" s="298">
        <f t="shared" si="102"/>
        <v>28</v>
      </c>
      <c r="K474" s="299">
        <f t="shared" si="103"/>
        <v>171774</v>
      </c>
      <c r="R474" s="497">
        <f t="shared" si="93"/>
        <v>171774</v>
      </c>
      <c r="T474" s="302">
        <f t="shared" si="94"/>
        <v>171767</v>
      </c>
    </row>
    <row r="475" spans="2:20">
      <c r="B475" s="604">
        <f t="shared" si="95"/>
        <v>2371</v>
      </c>
      <c r="C475" s="297">
        <f t="shared" si="92"/>
        <v>26</v>
      </c>
      <c r="D475" s="297">
        <f t="shared" si="96"/>
        <v>1</v>
      </c>
      <c r="E475" s="297">
        <f t="shared" si="97"/>
        <v>15</v>
      </c>
      <c r="F475" s="298">
        <f t="shared" si="98"/>
        <v>3</v>
      </c>
      <c r="G475" s="298">
        <f t="shared" si="99"/>
        <v>5</v>
      </c>
      <c r="H475" s="298">
        <f t="shared" si="100"/>
        <v>11</v>
      </c>
      <c r="I475" s="298">
        <f t="shared" si="101"/>
        <v>2</v>
      </c>
      <c r="J475" s="298">
        <f t="shared" si="102"/>
        <v>13</v>
      </c>
      <c r="K475" s="299">
        <f t="shared" si="103"/>
        <v>172124</v>
      </c>
      <c r="R475" s="497">
        <f t="shared" si="93"/>
        <v>172124</v>
      </c>
      <c r="T475" s="302">
        <f t="shared" si="94"/>
        <v>172124</v>
      </c>
    </row>
    <row r="476" spans="2:20">
      <c r="B476" s="604">
        <f t="shared" si="95"/>
        <v>2372</v>
      </c>
      <c r="C476" s="297">
        <f t="shared" si="92"/>
        <v>26</v>
      </c>
      <c r="D476" s="297">
        <f t="shared" si="96"/>
        <v>1</v>
      </c>
      <c r="E476" s="297">
        <f t="shared" si="97"/>
        <v>16</v>
      </c>
      <c r="F476" s="298">
        <f t="shared" si="98"/>
        <v>0</v>
      </c>
      <c r="G476" s="298">
        <f t="shared" si="99"/>
        <v>6</v>
      </c>
      <c r="H476" s="298">
        <f t="shared" si="100"/>
        <v>0</v>
      </c>
      <c r="I476" s="298">
        <f t="shared" si="101"/>
        <v>4</v>
      </c>
      <c r="J476" s="298">
        <f t="shared" si="102"/>
        <v>4</v>
      </c>
      <c r="K476" s="299">
        <f t="shared" si="103"/>
        <v>172481</v>
      </c>
      <c r="R476" s="497">
        <f t="shared" si="93"/>
        <v>172481</v>
      </c>
      <c r="T476" s="302">
        <f t="shared" si="94"/>
        <v>172509</v>
      </c>
    </row>
    <row r="477" spans="2:20">
      <c r="B477" s="604">
        <f t="shared" si="95"/>
        <v>2373</v>
      </c>
      <c r="C477" s="297">
        <f t="shared" si="92"/>
        <v>26</v>
      </c>
      <c r="D477" s="297">
        <f t="shared" si="96"/>
        <v>1</v>
      </c>
      <c r="E477" s="297">
        <f t="shared" si="97"/>
        <v>17</v>
      </c>
      <c r="F477" s="298">
        <f t="shared" si="98"/>
        <v>1</v>
      </c>
      <c r="G477" s="298">
        <f t="shared" si="99"/>
        <v>0</v>
      </c>
      <c r="H477" s="298">
        <f t="shared" si="100"/>
        <v>19</v>
      </c>
      <c r="I477" s="298">
        <f t="shared" si="101"/>
        <v>5</v>
      </c>
      <c r="J477" s="298">
        <f t="shared" si="102"/>
        <v>24</v>
      </c>
      <c r="K477" s="299">
        <f t="shared" si="103"/>
        <v>172866</v>
      </c>
      <c r="R477" s="497">
        <f t="shared" si="93"/>
        <v>172866</v>
      </c>
      <c r="T477" s="302">
        <f t="shared" si="94"/>
        <v>172859</v>
      </c>
    </row>
    <row r="478" spans="2:20">
      <c r="B478" s="604">
        <f t="shared" si="95"/>
        <v>2374</v>
      </c>
      <c r="C478" s="297">
        <f t="shared" si="92"/>
        <v>26</v>
      </c>
      <c r="D478" s="297">
        <f t="shared" si="96"/>
        <v>1</v>
      </c>
      <c r="E478" s="297">
        <f t="shared" si="97"/>
        <v>18</v>
      </c>
      <c r="F478" s="298">
        <f t="shared" si="98"/>
        <v>2</v>
      </c>
      <c r="G478" s="298">
        <f t="shared" si="99"/>
        <v>1</v>
      </c>
      <c r="H478" s="298">
        <f t="shared" si="100"/>
        <v>8</v>
      </c>
      <c r="I478" s="298">
        <f t="shared" si="101"/>
        <v>1</v>
      </c>
      <c r="J478" s="298">
        <f t="shared" si="102"/>
        <v>9</v>
      </c>
      <c r="K478" s="299">
        <f t="shared" si="103"/>
        <v>173216</v>
      </c>
      <c r="R478" s="497">
        <f t="shared" si="93"/>
        <v>173216</v>
      </c>
      <c r="T478" s="302">
        <f t="shared" si="94"/>
        <v>173216</v>
      </c>
    </row>
    <row r="479" spans="2:20">
      <c r="B479" s="604">
        <f t="shared" si="95"/>
        <v>2375</v>
      </c>
      <c r="C479" s="297">
        <f t="shared" si="92"/>
        <v>26</v>
      </c>
      <c r="D479" s="297">
        <f t="shared" si="96"/>
        <v>1</v>
      </c>
      <c r="E479" s="297">
        <f t="shared" si="97"/>
        <v>0</v>
      </c>
      <c r="F479" s="298">
        <f t="shared" si="98"/>
        <v>3</v>
      </c>
      <c r="G479" s="298">
        <f t="shared" si="99"/>
        <v>2</v>
      </c>
      <c r="H479" s="298">
        <f t="shared" si="100"/>
        <v>26</v>
      </c>
      <c r="I479" s="298">
        <f t="shared" si="101"/>
        <v>3</v>
      </c>
      <c r="J479" s="298">
        <f t="shared" si="102"/>
        <v>29</v>
      </c>
      <c r="K479" s="299">
        <f t="shared" si="103"/>
        <v>173601</v>
      </c>
      <c r="R479" s="497">
        <f t="shared" si="93"/>
        <v>173601</v>
      </c>
      <c r="T479" s="302">
        <f t="shared" si="94"/>
        <v>173601</v>
      </c>
    </row>
    <row r="480" spans="2:20">
      <c r="B480" s="604">
        <f t="shared" si="95"/>
        <v>2376</v>
      </c>
      <c r="C480" s="297">
        <f t="shared" si="92"/>
        <v>26</v>
      </c>
      <c r="D480" s="297">
        <f t="shared" si="96"/>
        <v>1</v>
      </c>
      <c r="E480" s="297">
        <f t="shared" si="97"/>
        <v>1</v>
      </c>
      <c r="F480" s="298">
        <f t="shared" si="98"/>
        <v>0</v>
      </c>
      <c r="G480" s="298">
        <f t="shared" si="99"/>
        <v>3</v>
      </c>
      <c r="H480" s="298">
        <f t="shared" si="100"/>
        <v>15</v>
      </c>
      <c r="I480" s="298">
        <f t="shared" si="101"/>
        <v>5</v>
      </c>
      <c r="J480" s="298">
        <f t="shared" si="102"/>
        <v>20</v>
      </c>
      <c r="K480" s="299">
        <f t="shared" si="103"/>
        <v>173958</v>
      </c>
      <c r="R480" s="497">
        <f t="shared" si="93"/>
        <v>173958</v>
      </c>
      <c r="T480" s="302">
        <f t="shared" si="94"/>
        <v>173951</v>
      </c>
    </row>
    <row r="481" spans="2:20">
      <c r="B481" s="604">
        <f t="shared" si="95"/>
        <v>2377</v>
      </c>
      <c r="C481" s="297">
        <f t="shared" si="92"/>
        <v>26</v>
      </c>
      <c r="D481" s="297">
        <f t="shared" si="96"/>
        <v>1</v>
      </c>
      <c r="E481" s="297">
        <f t="shared" si="97"/>
        <v>2</v>
      </c>
      <c r="F481" s="298">
        <f t="shared" si="98"/>
        <v>1</v>
      </c>
      <c r="G481" s="298">
        <f t="shared" si="99"/>
        <v>4</v>
      </c>
      <c r="H481" s="298">
        <f t="shared" si="100"/>
        <v>4</v>
      </c>
      <c r="I481" s="298">
        <f t="shared" si="101"/>
        <v>1</v>
      </c>
      <c r="J481" s="298">
        <f t="shared" si="102"/>
        <v>5</v>
      </c>
      <c r="K481" s="299">
        <f t="shared" si="103"/>
        <v>174308</v>
      </c>
      <c r="R481" s="497">
        <f t="shared" si="93"/>
        <v>174308</v>
      </c>
      <c r="T481" s="302">
        <f t="shared" si="94"/>
        <v>174308</v>
      </c>
    </row>
    <row r="482" spans="2:20">
      <c r="B482" s="604">
        <f t="shared" si="95"/>
        <v>2378</v>
      </c>
      <c r="C482" s="297">
        <f t="shared" si="92"/>
        <v>26</v>
      </c>
      <c r="D482" s="297">
        <f t="shared" si="96"/>
        <v>1</v>
      </c>
      <c r="E482" s="297">
        <f t="shared" si="97"/>
        <v>3</v>
      </c>
      <c r="F482" s="298">
        <f t="shared" si="98"/>
        <v>2</v>
      </c>
      <c r="G482" s="298">
        <f t="shared" si="99"/>
        <v>5</v>
      </c>
      <c r="H482" s="298">
        <f t="shared" si="100"/>
        <v>23</v>
      </c>
      <c r="I482" s="298">
        <f t="shared" si="101"/>
        <v>2</v>
      </c>
      <c r="J482" s="298">
        <f t="shared" si="102"/>
        <v>25</v>
      </c>
      <c r="K482" s="299">
        <f t="shared" si="103"/>
        <v>174693</v>
      </c>
      <c r="R482" s="497">
        <f t="shared" si="93"/>
        <v>174693</v>
      </c>
      <c r="T482" s="302">
        <f t="shared" si="94"/>
        <v>174693</v>
      </c>
    </row>
    <row r="483" spans="2:20">
      <c r="B483" s="604">
        <f t="shared" si="95"/>
        <v>2379</v>
      </c>
      <c r="C483" s="297">
        <f t="shared" si="92"/>
        <v>26</v>
      </c>
      <c r="D483" s="297">
        <f t="shared" si="96"/>
        <v>1</v>
      </c>
      <c r="E483" s="297">
        <f t="shared" si="97"/>
        <v>4</v>
      </c>
      <c r="F483" s="298">
        <f t="shared" si="98"/>
        <v>3</v>
      </c>
      <c r="G483" s="298">
        <f t="shared" si="99"/>
        <v>6</v>
      </c>
      <c r="H483" s="298">
        <f t="shared" si="100"/>
        <v>12</v>
      </c>
      <c r="I483" s="298">
        <f t="shared" si="101"/>
        <v>5</v>
      </c>
      <c r="J483" s="298">
        <f t="shared" si="102"/>
        <v>17</v>
      </c>
      <c r="K483" s="299">
        <f t="shared" si="103"/>
        <v>175050</v>
      </c>
      <c r="R483" s="497">
        <f t="shared" si="93"/>
        <v>175050</v>
      </c>
      <c r="T483" s="302">
        <f t="shared" si="94"/>
        <v>175043</v>
      </c>
    </row>
    <row r="484" spans="2:20">
      <c r="B484" s="604">
        <f t="shared" si="95"/>
        <v>2380</v>
      </c>
      <c r="C484" s="297">
        <f t="shared" si="92"/>
        <v>26</v>
      </c>
      <c r="D484" s="297">
        <f t="shared" si="96"/>
        <v>1</v>
      </c>
      <c r="E484" s="297">
        <f t="shared" si="97"/>
        <v>5</v>
      </c>
      <c r="F484" s="298">
        <f t="shared" si="98"/>
        <v>0</v>
      </c>
      <c r="G484" s="298">
        <f t="shared" si="99"/>
        <v>0</v>
      </c>
      <c r="H484" s="298">
        <f t="shared" si="100"/>
        <v>1</v>
      </c>
      <c r="I484" s="298">
        <f t="shared" si="101"/>
        <v>0</v>
      </c>
      <c r="J484" s="298">
        <f t="shared" si="102"/>
        <v>1</v>
      </c>
      <c r="K484" s="299">
        <f t="shared" si="103"/>
        <v>175400</v>
      </c>
      <c r="R484" s="497">
        <f t="shared" si="93"/>
        <v>175400</v>
      </c>
      <c r="T484" s="302">
        <f t="shared" si="94"/>
        <v>175428</v>
      </c>
    </row>
    <row r="485" spans="2:20">
      <c r="B485" s="604">
        <f t="shared" si="95"/>
        <v>2381</v>
      </c>
      <c r="C485" s="297">
        <f t="shared" si="92"/>
        <v>26</v>
      </c>
      <c r="D485" s="297">
        <f t="shared" si="96"/>
        <v>1</v>
      </c>
      <c r="E485" s="297">
        <f t="shared" si="97"/>
        <v>6</v>
      </c>
      <c r="F485" s="298">
        <f t="shared" si="98"/>
        <v>1</v>
      </c>
      <c r="G485" s="298">
        <f t="shared" si="99"/>
        <v>1</v>
      </c>
      <c r="H485" s="298">
        <f t="shared" si="100"/>
        <v>20</v>
      </c>
      <c r="I485" s="298">
        <f t="shared" si="101"/>
        <v>1</v>
      </c>
      <c r="J485" s="298">
        <f t="shared" si="102"/>
        <v>21</v>
      </c>
      <c r="K485" s="299">
        <f t="shared" si="103"/>
        <v>175785</v>
      </c>
      <c r="R485" s="497">
        <f t="shared" si="93"/>
        <v>175785</v>
      </c>
      <c r="T485" s="302">
        <f t="shared" si="94"/>
        <v>175785</v>
      </c>
    </row>
    <row r="486" spans="2:20">
      <c r="B486" s="604">
        <f t="shared" si="95"/>
        <v>2382</v>
      </c>
      <c r="C486" s="297">
        <f t="shared" si="92"/>
        <v>26</v>
      </c>
      <c r="D486" s="297">
        <f t="shared" si="96"/>
        <v>1</v>
      </c>
      <c r="E486" s="297">
        <f t="shared" si="97"/>
        <v>7</v>
      </c>
      <c r="F486" s="298">
        <f t="shared" si="98"/>
        <v>2</v>
      </c>
      <c r="G486" s="298">
        <f t="shared" si="99"/>
        <v>2</v>
      </c>
      <c r="H486" s="298">
        <f t="shared" si="100"/>
        <v>9</v>
      </c>
      <c r="I486" s="298">
        <f t="shared" si="101"/>
        <v>4</v>
      </c>
      <c r="J486" s="298">
        <f t="shared" si="102"/>
        <v>13</v>
      </c>
      <c r="K486" s="299">
        <f t="shared" si="103"/>
        <v>176142</v>
      </c>
      <c r="R486" s="497">
        <f t="shared" si="93"/>
        <v>176142</v>
      </c>
      <c r="T486" s="302">
        <f t="shared" si="94"/>
        <v>176142</v>
      </c>
    </row>
    <row r="487" spans="2:20">
      <c r="B487" s="604">
        <f t="shared" si="95"/>
        <v>2383</v>
      </c>
      <c r="C487" s="297">
        <f t="shared" si="92"/>
        <v>26</v>
      </c>
      <c r="D487" s="297">
        <f t="shared" si="96"/>
        <v>1</v>
      </c>
      <c r="E487" s="297">
        <f t="shared" si="97"/>
        <v>8</v>
      </c>
      <c r="F487" s="298">
        <f t="shared" si="98"/>
        <v>3</v>
      </c>
      <c r="G487" s="298">
        <f t="shared" si="99"/>
        <v>3</v>
      </c>
      <c r="H487" s="298">
        <f t="shared" si="100"/>
        <v>28</v>
      </c>
      <c r="I487" s="298">
        <f t="shared" si="101"/>
        <v>5</v>
      </c>
      <c r="J487" s="298">
        <f t="shared" si="102"/>
        <v>33</v>
      </c>
      <c r="K487" s="299">
        <f t="shared" si="103"/>
        <v>176527</v>
      </c>
      <c r="R487" s="497">
        <f t="shared" si="93"/>
        <v>176527</v>
      </c>
      <c r="T487" s="302">
        <f t="shared" si="94"/>
        <v>176520</v>
      </c>
    </row>
    <row r="488" spans="2:20">
      <c r="B488" s="604">
        <f t="shared" si="95"/>
        <v>2384</v>
      </c>
      <c r="C488" s="297">
        <f t="shared" si="92"/>
        <v>26</v>
      </c>
      <c r="D488" s="297">
        <f t="shared" si="96"/>
        <v>1</v>
      </c>
      <c r="E488" s="297">
        <f t="shared" si="97"/>
        <v>9</v>
      </c>
      <c r="F488" s="298">
        <f t="shared" si="98"/>
        <v>0</v>
      </c>
      <c r="G488" s="298">
        <f t="shared" si="99"/>
        <v>4</v>
      </c>
      <c r="H488" s="298">
        <f t="shared" si="100"/>
        <v>17</v>
      </c>
      <c r="I488" s="298">
        <f t="shared" si="101"/>
        <v>0</v>
      </c>
      <c r="J488" s="298">
        <f t="shared" si="102"/>
        <v>17</v>
      </c>
      <c r="K488" s="299">
        <f t="shared" si="103"/>
        <v>176877</v>
      </c>
      <c r="R488" s="497">
        <f t="shared" si="93"/>
        <v>176877</v>
      </c>
      <c r="T488" s="302">
        <f t="shared" si="94"/>
        <v>176877</v>
      </c>
    </row>
    <row r="489" spans="2:20">
      <c r="B489" s="604">
        <f t="shared" si="95"/>
        <v>2385</v>
      </c>
      <c r="C489" s="297">
        <f t="shared" si="92"/>
        <v>26</v>
      </c>
      <c r="D489" s="297">
        <f t="shared" si="96"/>
        <v>1</v>
      </c>
      <c r="E489" s="297">
        <f t="shared" si="97"/>
        <v>10</v>
      </c>
      <c r="F489" s="298">
        <f t="shared" si="98"/>
        <v>1</v>
      </c>
      <c r="G489" s="298">
        <f t="shared" si="99"/>
        <v>5</v>
      </c>
      <c r="H489" s="298">
        <f t="shared" si="100"/>
        <v>6</v>
      </c>
      <c r="I489" s="298">
        <f t="shared" si="101"/>
        <v>3</v>
      </c>
      <c r="J489" s="298">
        <f t="shared" si="102"/>
        <v>9</v>
      </c>
      <c r="K489" s="299">
        <f t="shared" si="103"/>
        <v>177234</v>
      </c>
      <c r="R489" s="497">
        <f t="shared" si="93"/>
        <v>177234</v>
      </c>
      <c r="T489" s="302">
        <f t="shared" si="94"/>
        <v>177234</v>
      </c>
    </row>
    <row r="490" spans="2:20">
      <c r="B490" s="604">
        <f t="shared" si="95"/>
        <v>2386</v>
      </c>
      <c r="C490" s="297">
        <f t="shared" si="92"/>
        <v>26</v>
      </c>
      <c r="D490" s="297">
        <f t="shared" si="96"/>
        <v>1</v>
      </c>
      <c r="E490" s="297">
        <f t="shared" si="97"/>
        <v>11</v>
      </c>
      <c r="F490" s="298">
        <f t="shared" si="98"/>
        <v>2</v>
      </c>
      <c r="G490" s="298">
        <f t="shared" si="99"/>
        <v>6</v>
      </c>
      <c r="H490" s="298">
        <f t="shared" si="100"/>
        <v>25</v>
      </c>
      <c r="I490" s="298">
        <f t="shared" si="101"/>
        <v>4</v>
      </c>
      <c r="J490" s="298">
        <f t="shared" si="102"/>
        <v>29</v>
      </c>
      <c r="K490" s="299">
        <f t="shared" si="103"/>
        <v>177619</v>
      </c>
      <c r="R490" s="497">
        <f t="shared" si="93"/>
        <v>177619</v>
      </c>
      <c r="T490" s="302">
        <f t="shared" si="94"/>
        <v>177619</v>
      </c>
    </row>
    <row r="491" spans="2:20">
      <c r="B491" s="604">
        <f t="shared" si="95"/>
        <v>2387</v>
      </c>
      <c r="C491" s="297">
        <f t="shared" si="92"/>
        <v>26</v>
      </c>
      <c r="D491" s="297">
        <f t="shared" si="96"/>
        <v>1</v>
      </c>
      <c r="E491" s="297">
        <f t="shared" si="97"/>
        <v>12</v>
      </c>
      <c r="F491" s="298">
        <f t="shared" si="98"/>
        <v>3</v>
      </c>
      <c r="G491" s="298">
        <f t="shared" si="99"/>
        <v>0</v>
      </c>
      <c r="H491" s="298">
        <f t="shared" si="100"/>
        <v>14</v>
      </c>
      <c r="I491" s="298">
        <f t="shared" si="101"/>
        <v>0</v>
      </c>
      <c r="J491" s="298">
        <f t="shared" si="102"/>
        <v>14</v>
      </c>
      <c r="K491" s="299">
        <f t="shared" si="103"/>
        <v>177969</v>
      </c>
      <c r="R491" s="497">
        <f t="shared" si="93"/>
        <v>177969</v>
      </c>
      <c r="T491" s="302">
        <f t="shared" si="94"/>
        <v>177969</v>
      </c>
    </row>
    <row r="492" spans="2:20">
      <c r="B492" s="604">
        <f t="shared" si="95"/>
        <v>2388</v>
      </c>
      <c r="C492" s="297">
        <f t="shared" si="92"/>
        <v>26</v>
      </c>
      <c r="D492" s="297">
        <f t="shared" si="96"/>
        <v>1</v>
      </c>
      <c r="E492" s="297">
        <f t="shared" si="97"/>
        <v>13</v>
      </c>
      <c r="F492" s="298">
        <f t="shared" si="98"/>
        <v>0</v>
      </c>
      <c r="G492" s="298">
        <f t="shared" si="99"/>
        <v>1</v>
      </c>
      <c r="H492" s="298">
        <f t="shared" si="100"/>
        <v>3</v>
      </c>
      <c r="I492" s="298">
        <f t="shared" si="101"/>
        <v>2</v>
      </c>
      <c r="J492" s="298">
        <f t="shared" si="102"/>
        <v>5</v>
      </c>
      <c r="K492" s="299">
        <f t="shared" si="103"/>
        <v>178326</v>
      </c>
      <c r="R492" s="497">
        <f t="shared" si="93"/>
        <v>178326</v>
      </c>
      <c r="T492" s="302">
        <f t="shared" si="94"/>
        <v>178326</v>
      </c>
    </row>
    <row r="493" spans="2:20">
      <c r="B493" s="604">
        <f t="shared" si="95"/>
        <v>2389</v>
      </c>
      <c r="C493" s="297">
        <f t="shared" si="92"/>
        <v>26</v>
      </c>
      <c r="D493" s="297">
        <f t="shared" si="96"/>
        <v>1</v>
      </c>
      <c r="E493" s="297">
        <f t="shared" si="97"/>
        <v>14</v>
      </c>
      <c r="F493" s="298">
        <f t="shared" si="98"/>
        <v>1</v>
      </c>
      <c r="G493" s="298">
        <f t="shared" si="99"/>
        <v>2</v>
      </c>
      <c r="H493" s="298">
        <f t="shared" si="100"/>
        <v>22</v>
      </c>
      <c r="I493" s="298">
        <f t="shared" si="101"/>
        <v>3</v>
      </c>
      <c r="J493" s="298">
        <f t="shared" si="102"/>
        <v>25</v>
      </c>
      <c r="K493" s="299">
        <f t="shared" si="103"/>
        <v>178711</v>
      </c>
      <c r="R493" s="497">
        <f t="shared" si="93"/>
        <v>178711</v>
      </c>
      <c r="T493" s="302">
        <f t="shared" si="94"/>
        <v>178711</v>
      </c>
    </row>
    <row r="494" spans="2:20">
      <c r="B494" s="604">
        <f t="shared" si="95"/>
        <v>2390</v>
      </c>
      <c r="C494" s="297">
        <f t="shared" si="92"/>
        <v>26</v>
      </c>
      <c r="D494" s="297">
        <f t="shared" si="96"/>
        <v>1</v>
      </c>
      <c r="E494" s="297">
        <f t="shared" si="97"/>
        <v>15</v>
      </c>
      <c r="F494" s="298">
        <f t="shared" si="98"/>
        <v>2</v>
      </c>
      <c r="G494" s="298">
        <f t="shared" si="99"/>
        <v>3</v>
      </c>
      <c r="H494" s="298">
        <f t="shared" si="100"/>
        <v>11</v>
      </c>
      <c r="I494" s="298">
        <f t="shared" si="101"/>
        <v>6</v>
      </c>
      <c r="J494" s="298">
        <f t="shared" si="102"/>
        <v>17</v>
      </c>
      <c r="K494" s="299">
        <f t="shared" si="103"/>
        <v>179068</v>
      </c>
      <c r="R494" s="497">
        <f t="shared" si="93"/>
        <v>179068</v>
      </c>
      <c r="T494" s="302">
        <f t="shared" si="94"/>
        <v>179061</v>
      </c>
    </row>
    <row r="495" spans="2:20">
      <c r="B495" s="604">
        <f t="shared" si="95"/>
        <v>2391</v>
      </c>
      <c r="C495" s="297">
        <f t="shared" si="92"/>
        <v>26</v>
      </c>
      <c r="D495" s="297">
        <f t="shared" si="96"/>
        <v>1</v>
      </c>
      <c r="E495" s="297">
        <f t="shared" si="97"/>
        <v>16</v>
      </c>
      <c r="F495" s="298">
        <f t="shared" si="98"/>
        <v>3</v>
      </c>
      <c r="G495" s="298">
        <f t="shared" si="99"/>
        <v>4</v>
      </c>
      <c r="H495" s="298">
        <f t="shared" si="100"/>
        <v>0</v>
      </c>
      <c r="I495" s="298">
        <f t="shared" si="101"/>
        <v>2</v>
      </c>
      <c r="J495" s="298">
        <f t="shared" si="102"/>
        <v>2</v>
      </c>
      <c r="K495" s="299">
        <f t="shared" si="103"/>
        <v>179418</v>
      </c>
      <c r="R495" s="497">
        <f t="shared" si="93"/>
        <v>179418</v>
      </c>
      <c r="T495" s="302">
        <f t="shared" si="94"/>
        <v>179446</v>
      </c>
    </row>
    <row r="496" spans="2:20">
      <c r="B496" s="604">
        <f t="shared" si="95"/>
        <v>2392</v>
      </c>
      <c r="C496" s="297">
        <f t="shared" si="92"/>
        <v>26</v>
      </c>
      <c r="D496" s="297">
        <f t="shared" si="96"/>
        <v>1</v>
      </c>
      <c r="E496" s="297">
        <f t="shared" si="97"/>
        <v>17</v>
      </c>
      <c r="F496" s="298">
        <f t="shared" si="98"/>
        <v>0</v>
      </c>
      <c r="G496" s="298">
        <f t="shared" si="99"/>
        <v>5</v>
      </c>
      <c r="H496" s="298">
        <f t="shared" si="100"/>
        <v>19</v>
      </c>
      <c r="I496" s="298">
        <f t="shared" si="101"/>
        <v>2</v>
      </c>
      <c r="J496" s="298">
        <f t="shared" si="102"/>
        <v>21</v>
      </c>
      <c r="K496" s="299">
        <f t="shared" si="103"/>
        <v>179803</v>
      </c>
      <c r="R496" s="497">
        <f t="shared" si="93"/>
        <v>179803</v>
      </c>
      <c r="T496" s="302">
        <f t="shared" si="94"/>
        <v>179803</v>
      </c>
    </row>
    <row r="497" spans="2:20">
      <c r="B497" s="604">
        <f t="shared" si="95"/>
        <v>2393</v>
      </c>
      <c r="C497" s="297">
        <f t="shared" si="92"/>
        <v>26</v>
      </c>
      <c r="D497" s="297">
        <f t="shared" si="96"/>
        <v>1</v>
      </c>
      <c r="E497" s="297">
        <f t="shared" si="97"/>
        <v>18</v>
      </c>
      <c r="F497" s="298">
        <f t="shared" si="98"/>
        <v>1</v>
      </c>
      <c r="G497" s="298">
        <f t="shared" si="99"/>
        <v>6</v>
      </c>
      <c r="H497" s="298">
        <f t="shared" si="100"/>
        <v>8</v>
      </c>
      <c r="I497" s="298">
        <f t="shared" si="101"/>
        <v>5</v>
      </c>
      <c r="J497" s="298">
        <f t="shared" si="102"/>
        <v>13</v>
      </c>
      <c r="K497" s="299">
        <f t="shared" si="103"/>
        <v>180160</v>
      </c>
      <c r="R497" s="497">
        <f t="shared" si="93"/>
        <v>180160</v>
      </c>
      <c r="T497" s="302">
        <f t="shared" si="94"/>
        <v>180153</v>
      </c>
    </row>
    <row r="498" spans="2:20">
      <c r="B498" s="604">
        <f t="shared" si="95"/>
        <v>2394</v>
      </c>
      <c r="C498" s="297">
        <f t="shared" si="92"/>
        <v>26</v>
      </c>
      <c r="D498" s="297">
        <f t="shared" si="96"/>
        <v>1</v>
      </c>
      <c r="E498" s="297">
        <f t="shared" si="97"/>
        <v>0</v>
      </c>
      <c r="F498" s="298">
        <f t="shared" si="98"/>
        <v>2</v>
      </c>
      <c r="G498" s="298">
        <f t="shared" si="99"/>
        <v>0</v>
      </c>
      <c r="H498" s="298">
        <f t="shared" si="100"/>
        <v>26</v>
      </c>
      <c r="I498" s="298">
        <f t="shared" si="101"/>
        <v>0</v>
      </c>
      <c r="J498" s="298">
        <f t="shared" si="102"/>
        <v>26</v>
      </c>
      <c r="K498" s="299">
        <f t="shared" si="103"/>
        <v>180538</v>
      </c>
      <c r="R498" s="497">
        <f t="shared" si="93"/>
        <v>180538</v>
      </c>
      <c r="T498" s="302">
        <f t="shared" si="94"/>
        <v>180538</v>
      </c>
    </row>
    <row r="499" spans="2:20">
      <c r="B499" s="604">
        <f t="shared" si="95"/>
        <v>2395</v>
      </c>
      <c r="C499" s="297">
        <f t="shared" si="92"/>
        <v>26</v>
      </c>
      <c r="D499" s="297">
        <f t="shared" si="96"/>
        <v>1</v>
      </c>
      <c r="E499" s="297">
        <f t="shared" si="97"/>
        <v>1</v>
      </c>
      <c r="F499" s="298">
        <f t="shared" si="98"/>
        <v>3</v>
      </c>
      <c r="G499" s="298">
        <f t="shared" si="99"/>
        <v>1</v>
      </c>
      <c r="H499" s="298">
        <f t="shared" si="100"/>
        <v>15</v>
      </c>
      <c r="I499" s="298">
        <f t="shared" si="101"/>
        <v>3</v>
      </c>
      <c r="J499" s="298">
        <f t="shared" si="102"/>
        <v>18</v>
      </c>
      <c r="K499" s="299">
        <f t="shared" si="103"/>
        <v>180895</v>
      </c>
      <c r="R499" s="497">
        <f t="shared" si="93"/>
        <v>180895</v>
      </c>
      <c r="T499" s="302">
        <f t="shared" si="94"/>
        <v>180895</v>
      </c>
    </row>
    <row r="500" spans="2:20">
      <c r="B500" s="604">
        <f t="shared" si="95"/>
        <v>2396</v>
      </c>
      <c r="C500" s="297">
        <f t="shared" si="92"/>
        <v>26</v>
      </c>
      <c r="D500" s="297">
        <f t="shared" si="96"/>
        <v>1</v>
      </c>
      <c r="E500" s="297">
        <f t="shared" si="97"/>
        <v>2</v>
      </c>
      <c r="F500" s="298">
        <f t="shared" si="98"/>
        <v>0</v>
      </c>
      <c r="G500" s="298">
        <f t="shared" si="99"/>
        <v>2</v>
      </c>
      <c r="H500" s="298">
        <f t="shared" si="100"/>
        <v>4</v>
      </c>
      <c r="I500" s="298">
        <f t="shared" si="101"/>
        <v>5</v>
      </c>
      <c r="J500" s="298">
        <f t="shared" si="102"/>
        <v>9</v>
      </c>
      <c r="K500" s="299">
        <f t="shared" si="103"/>
        <v>181252</v>
      </c>
      <c r="R500" s="497">
        <f t="shared" si="93"/>
        <v>181252</v>
      </c>
      <c r="T500" s="302">
        <f t="shared" si="94"/>
        <v>181245</v>
      </c>
    </row>
    <row r="501" spans="2:20">
      <c r="B501" s="604">
        <f t="shared" si="95"/>
        <v>2397</v>
      </c>
      <c r="C501" s="297">
        <f t="shared" si="92"/>
        <v>26</v>
      </c>
      <c r="D501" s="297">
        <f t="shared" si="96"/>
        <v>1</v>
      </c>
      <c r="E501" s="297">
        <f t="shared" si="97"/>
        <v>3</v>
      </c>
      <c r="F501" s="298">
        <f t="shared" si="98"/>
        <v>1</v>
      </c>
      <c r="G501" s="298">
        <f t="shared" si="99"/>
        <v>3</v>
      </c>
      <c r="H501" s="298">
        <f t="shared" si="100"/>
        <v>23</v>
      </c>
      <c r="I501" s="298">
        <f t="shared" si="101"/>
        <v>6</v>
      </c>
      <c r="J501" s="298">
        <f t="shared" si="102"/>
        <v>29</v>
      </c>
      <c r="K501" s="299">
        <f t="shared" si="103"/>
        <v>181637</v>
      </c>
      <c r="R501" s="497">
        <f t="shared" si="93"/>
        <v>181637</v>
      </c>
      <c r="T501" s="302">
        <f t="shared" si="94"/>
        <v>181630</v>
      </c>
    </row>
    <row r="502" spans="2:20">
      <c r="B502" s="604">
        <f t="shared" si="95"/>
        <v>2398</v>
      </c>
      <c r="C502" s="297">
        <f t="shared" si="92"/>
        <v>26</v>
      </c>
      <c r="D502" s="297">
        <f t="shared" si="96"/>
        <v>1</v>
      </c>
      <c r="E502" s="297">
        <f t="shared" si="97"/>
        <v>4</v>
      </c>
      <c r="F502" s="298">
        <f t="shared" si="98"/>
        <v>2</v>
      </c>
      <c r="G502" s="298">
        <f t="shared" si="99"/>
        <v>4</v>
      </c>
      <c r="H502" s="298">
        <f t="shared" si="100"/>
        <v>12</v>
      </c>
      <c r="I502" s="298">
        <f t="shared" si="101"/>
        <v>2</v>
      </c>
      <c r="J502" s="298">
        <f t="shared" si="102"/>
        <v>14</v>
      </c>
      <c r="K502" s="299">
        <f t="shared" si="103"/>
        <v>181987</v>
      </c>
      <c r="R502" s="497">
        <f t="shared" si="93"/>
        <v>181987</v>
      </c>
      <c r="T502" s="302">
        <f t="shared" si="94"/>
        <v>181987</v>
      </c>
    </row>
    <row r="503" spans="2:20">
      <c r="B503" s="604">
        <f t="shared" si="95"/>
        <v>2399</v>
      </c>
      <c r="C503" s="297">
        <f t="shared" si="92"/>
        <v>26</v>
      </c>
      <c r="D503" s="297">
        <f t="shared" si="96"/>
        <v>1</v>
      </c>
      <c r="E503" s="297">
        <f t="shared" si="97"/>
        <v>5</v>
      </c>
      <c r="F503" s="298">
        <f t="shared" si="98"/>
        <v>3</v>
      </c>
      <c r="G503" s="298">
        <f t="shared" si="99"/>
        <v>5</v>
      </c>
      <c r="H503" s="298">
        <f t="shared" si="100"/>
        <v>1</v>
      </c>
      <c r="I503" s="298">
        <f t="shared" si="101"/>
        <v>5</v>
      </c>
      <c r="J503" s="298">
        <f t="shared" si="102"/>
        <v>6</v>
      </c>
      <c r="K503" s="299">
        <f t="shared" si="103"/>
        <v>182344</v>
      </c>
      <c r="R503" s="497">
        <f t="shared" si="93"/>
        <v>182344</v>
      </c>
      <c r="T503" s="302">
        <f t="shared" si="94"/>
        <v>182372</v>
      </c>
    </row>
    <row r="504" spans="2:20">
      <c r="B504" s="604">
        <f t="shared" si="95"/>
        <v>2400</v>
      </c>
      <c r="C504" s="297">
        <f t="shared" si="92"/>
        <v>25</v>
      </c>
      <c r="D504" s="297">
        <f t="shared" si="96"/>
        <v>1</v>
      </c>
      <c r="E504" s="297">
        <f t="shared" si="97"/>
        <v>6</v>
      </c>
      <c r="F504" s="298">
        <f t="shared" si="98"/>
        <v>0</v>
      </c>
      <c r="G504" s="298">
        <f t="shared" si="99"/>
        <v>6</v>
      </c>
      <c r="H504" s="298">
        <f t="shared" si="100"/>
        <v>19</v>
      </c>
      <c r="I504" s="298">
        <f t="shared" si="101"/>
        <v>6</v>
      </c>
      <c r="J504" s="298">
        <f t="shared" si="102"/>
        <v>25</v>
      </c>
      <c r="K504" s="299">
        <f t="shared" si="103"/>
        <v>182729</v>
      </c>
      <c r="R504" s="497">
        <f t="shared" si="93"/>
        <v>182729</v>
      </c>
      <c r="T504" s="302">
        <f t="shared" si="94"/>
        <v>182722</v>
      </c>
    </row>
    <row r="505" spans="2:20">
      <c r="B505" s="604">
        <f t="shared" si="95"/>
        <v>2401</v>
      </c>
      <c r="C505" s="297">
        <f t="shared" si="92"/>
        <v>25</v>
      </c>
      <c r="D505" s="297">
        <f t="shared" si="96"/>
        <v>1</v>
      </c>
      <c r="E505" s="297">
        <f t="shared" si="97"/>
        <v>7</v>
      </c>
      <c r="F505" s="298">
        <f t="shared" si="98"/>
        <v>1</v>
      </c>
      <c r="G505" s="298">
        <f t="shared" si="99"/>
        <v>0</v>
      </c>
      <c r="H505" s="298">
        <f t="shared" si="100"/>
        <v>8</v>
      </c>
      <c r="I505" s="298">
        <f t="shared" si="101"/>
        <v>2</v>
      </c>
      <c r="J505" s="298">
        <f t="shared" si="102"/>
        <v>10</v>
      </c>
      <c r="K505" s="299">
        <f t="shared" si="103"/>
        <v>183079</v>
      </c>
      <c r="R505" s="497">
        <f t="shared" si="93"/>
        <v>183079</v>
      </c>
      <c r="T505" s="302">
        <f t="shared" si="94"/>
        <v>183079</v>
      </c>
    </row>
    <row r="506" spans="2:20">
      <c r="B506" s="604">
        <f t="shared" si="95"/>
        <v>2402</v>
      </c>
      <c r="C506" s="297">
        <f t="shared" si="92"/>
        <v>25</v>
      </c>
      <c r="D506" s="297">
        <f t="shared" si="96"/>
        <v>1</v>
      </c>
      <c r="E506" s="297">
        <f t="shared" si="97"/>
        <v>8</v>
      </c>
      <c r="F506" s="298">
        <f t="shared" si="98"/>
        <v>2</v>
      </c>
      <c r="G506" s="298">
        <f t="shared" si="99"/>
        <v>1</v>
      </c>
      <c r="H506" s="298">
        <f t="shared" si="100"/>
        <v>27</v>
      </c>
      <c r="I506" s="298">
        <f t="shared" si="101"/>
        <v>3</v>
      </c>
      <c r="J506" s="298">
        <f t="shared" si="102"/>
        <v>30</v>
      </c>
      <c r="K506" s="299">
        <f t="shared" si="103"/>
        <v>183464</v>
      </c>
      <c r="R506" s="497">
        <f t="shared" si="93"/>
        <v>183464</v>
      </c>
      <c r="T506" s="302">
        <f t="shared" si="94"/>
        <v>183464</v>
      </c>
    </row>
    <row r="507" spans="2:20">
      <c r="B507" s="604">
        <f t="shared" si="95"/>
        <v>2403</v>
      </c>
      <c r="C507" s="297">
        <f t="shared" si="92"/>
        <v>25</v>
      </c>
      <c r="D507" s="297">
        <f t="shared" si="96"/>
        <v>1</v>
      </c>
      <c r="E507" s="297">
        <f t="shared" si="97"/>
        <v>9</v>
      </c>
      <c r="F507" s="298">
        <f t="shared" si="98"/>
        <v>3</v>
      </c>
      <c r="G507" s="298">
        <f t="shared" si="99"/>
        <v>2</v>
      </c>
      <c r="H507" s="298">
        <f t="shared" si="100"/>
        <v>16</v>
      </c>
      <c r="I507" s="298">
        <f t="shared" si="101"/>
        <v>6</v>
      </c>
      <c r="J507" s="298">
        <f t="shared" si="102"/>
        <v>22</v>
      </c>
      <c r="K507" s="299">
        <f t="shared" si="103"/>
        <v>183821</v>
      </c>
      <c r="R507" s="497">
        <f t="shared" si="93"/>
        <v>183821</v>
      </c>
      <c r="T507" s="302">
        <f t="shared" si="94"/>
        <v>183814</v>
      </c>
    </row>
    <row r="508" spans="2:20">
      <c r="B508" s="604">
        <f t="shared" si="95"/>
        <v>2404</v>
      </c>
      <c r="C508" s="297">
        <f t="shared" si="92"/>
        <v>25</v>
      </c>
      <c r="D508" s="297">
        <f t="shared" si="96"/>
        <v>1</v>
      </c>
      <c r="E508" s="297">
        <f t="shared" si="97"/>
        <v>10</v>
      </c>
      <c r="F508" s="298">
        <f t="shared" si="98"/>
        <v>0</v>
      </c>
      <c r="G508" s="298">
        <f t="shared" si="99"/>
        <v>3</v>
      </c>
      <c r="H508" s="298">
        <f t="shared" si="100"/>
        <v>5</v>
      </c>
      <c r="I508" s="298">
        <f t="shared" si="101"/>
        <v>1</v>
      </c>
      <c r="J508" s="298">
        <f t="shared" si="102"/>
        <v>6</v>
      </c>
      <c r="K508" s="299">
        <f t="shared" si="103"/>
        <v>184171</v>
      </c>
      <c r="R508" s="497">
        <f t="shared" si="93"/>
        <v>184171</v>
      </c>
      <c r="T508" s="302">
        <f t="shared" si="94"/>
        <v>184171</v>
      </c>
    </row>
    <row r="509" spans="2:20">
      <c r="B509" s="604">
        <f t="shared" si="95"/>
        <v>2405</v>
      </c>
      <c r="C509" s="297">
        <f t="shared" si="92"/>
        <v>25</v>
      </c>
      <c r="D509" s="297">
        <f t="shared" si="96"/>
        <v>1</v>
      </c>
      <c r="E509" s="297">
        <f t="shared" si="97"/>
        <v>11</v>
      </c>
      <c r="F509" s="298">
        <f t="shared" si="98"/>
        <v>1</v>
      </c>
      <c r="G509" s="298">
        <f t="shared" si="99"/>
        <v>4</v>
      </c>
      <c r="H509" s="298">
        <f t="shared" si="100"/>
        <v>24</v>
      </c>
      <c r="I509" s="298">
        <f t="shared" si="101"/>
        <v>2</v>
      </c>
      <c r="J509" s="298">
        <f t="shared" si="102"/>
        <v>26</v>
      </c>
      <c r="K509" s="299">
        <f t="shared" si="103"/>
        <v>184556</v>
      </c>
      <c r="R509" s="497">
        <f t="shared" si="93"/>
        <v>184556</v>
      </c>
      <c r="T509" s="302">
        <f t="shared" si="94"/>
        <v>184556</v>
      </c>
    </row>
    <row r="510" spans="2:20">
      <c r="B510" s="604">
        <f t="shared" si="95"/>
        <v>2406</v>
      </c>
      <c r="C510" s="297">
        <f t="shared" si="92"/>
        <v>25</v>
      </c>
      <c r="D510" s="297">
        <f t="shared" si="96"/>
        <v>1</v>
      </c>
      <c r="E510" s="297">
        <f t="shared" si="97"/>
        <v>12</v>
      </c>
      <c r="F510" s="298">
        <f t="shared" si="98"/>
        <v>2</v>
      </c>
      <c r="G510" s="298">
        <f t="shared" si="99"/>
        <v>5</v>
      </c>
      <c r="H510" s="298">
        <f t="shared" si="100"/>
        <v>13</v>
      </c>
      <c r="I510" s="298">
        <f t="shared" si="101"/>
        <v>5</v>
      </c>
      <c r="J510" s="298">
        <f t="shared" si="102"/>
        <v>18</v>
      </c>
      <c r="K510" s="299">
        <f t="shared" si="103"/>
        <v>184913</v>
      </c>
      <c r="R510" s="497">
        <f t="shared" si="93"/>
        <v>184913</v>
      </c>
      <c r="T510" s="302">
        <f t="shared" si="94"/>
        <v>184913</v>
      </c>
    </row>
    <row r="511" spans="2:20">
      <c r="B511" s="604">
        <f t="shared" si="95"/>
        <v>2407</v>
      </c>
      <c r="C511" s="297">
        <f t="shared" si="92"/>
        <v>25</v>
      </c>
      <c r="D511" s="297">
        <f t="shared" si="96"/>
        <v>1</v>
      </c>
      <c r="E511" s="297">
        <f t="shared" si="97"/>
        <v>13</v>
      </c>
      <c r="F511" s="298">
        <f t="shared" si="98"/>
        <v>3</v>
      </c>
      <c r="G511" s="298">
        <f t="shared" si="99"/>
        <v>6</v>
      </c>
      <c r="H511" s="298">
        <f t="shared" si="100"/>
        <v>2</v>
      </c>
      <c r="I511" s="298">
        <f t="shared" si="101"/>
        <v>1</v>
      </c>
      <c r="J511" s="298">
        <f t="shared" si="102"/>
        <v>3</v>
      </c>
      <c r="K511" s="299">
        <f t="shared" si="103"/>
        <v>185263</v>
      </c>
      <c r="R511" s="497">
        <f t="shared" si="93"/>
        <v>185263</v>
      </c>
      <c r="T511" s="302">
        <f t="shared" si="94"/>
        <v>185263</v>
      </c>
    </row>
    <row r="512" spans="2:20">
      <c r="B512" s="604">
        <f t="shared" si="95"/>
        <v>2408</v>
      </c>
      <c r="C512" s="297">
        <f t="shared" si="92"/>
        <v>25</v>
      </c>
      <c r="D512" s="297">
        <f t="shared" si="96"/>
        <v>1</v>
      </c>
      <c r="E512" s="297">
        <f t="shared" si="97"/>
        <v>14</v>
      </c>
      <c r="F512" s="298">
        <f t="shared" si="98"/>
        <v>0</v>
      </c>
      <c r="G512" s="298">
        <f t="shared" si="99"/>
        <v>0</v>
      </c>
      <c r="H512" s="298">
        <f t="shared" si="100"/>
        <v>21</v>
      </c>
      <c r="I512" s="298">
        <f t="shared" si="101"/>
        <v>1</v>
      </c>
      <c r="J512" s="298">
        <f t="shared" si="102"/>
        <v>22</v>
      </c>
      <c r="K512" s="299">
        <f t="shared" si="103"/>
        <v>185648</v>
      </c>
      <c r="R512" s="497">
        <f t="shared" si="93"/>
        <v>185648</v>
      </c>
      <c r="T512" s="302">
        <f t="shared" si="94"/>
        <v>185648</v>
      </c>
    </row>
    <row r="513" spans="2:20">
      <c r="B513" s="604">
        <f t="shared" si="95"/>
        <v>2409</v>
      </c>
      <c r="C513" s="297">
        <f t="shared" si="92"/>
        <v>25</v>
      </c>
      <c r="D513" s="297">
        <f t="shared" si="96"/>
        <v>1</v>
      </c>
      <c r="E513" s="297">
        <f t="shared" si="97"/>
        <v>15</v>
      </c>
      <c r="F513" s="298">
        <f t="shared" si="98"/>
        <v>1</v>
      </c>
      <c r="G513" s="298">
        <f t="shared" si="99"/>
        <v>1</v>
      </c>
      <c r="H513" s="298">
        <f t="shared" si="100"/>
        <v>10</v>
      </c>
      <c r="I513" s="298">
        <f t="shared" si="101"/>
        <v>4</v>
      </c>
      <c r="J513" s="298">
        <f t="shared" si="102"/>
        <v>14</v>
      </c>
      <c r="K513" s="299">
        <f t="shared" si="103"/>
        <v>186005</v>
      </c>
      <c r="R513" s="497">
        <f t="shared" si="93"/>
        <v>186005</v>
      </c>
      <c r="T513" s="302">
        <f t="shared" si="94"/>
        <v>186005</v>
      </c>
    </row>
    <row r="514" spans="2:20">
      <c r="B514" s="604">
        <f t="shared" si="95"/>
        <v>2410</v>
      </c>
      <c r="C514" s="297">
        <f t="shared" si="92"/>
        <v>25</v>
      </c>
      <c r="D514" s="297">
        <f t="shared" si="96"/>
        <v>1</v>
      </c>
      <c r="E514" s="297">
        <f t="shared" si="97"/>
        <v>16</v>
      </c>
      <c r="F514" s="298">
        <f t="shared" si="98"/>
        <v>2</v>
      </c>
      <c r="G514" s="298">
        <f t="shared" si="99"/>
        <v>2</v>
      </c>
      <c r="H514" s="298">
        <f t="shared" si="100"/>
        <v>29</v>
      </c>
      <c r="I514" s="298">
        <f t="shared" si="101"/>
        <v>5</v>
      </c>
      <c r="J514" s="298">
        <f t="shared" si="102"/>
        <v>34</v>
      </c>
      <c r="K514" s="299">
        <f t="shared" si="103"/>
        <v>186390</v>
      </c>
      <c r="R514" s="497">
        <f t="shared" si="93"/>
        <v>186390</v>
      </c>
      <c r="T514" s="302">
        <f t="shared" si="94"/>
        <v>186383</v>
      </c>
    </row>
    <row r="515" spans="2:20">
      <c r="B515" s="604">
        <f t="shared" si="95"/>
        <v>2411</v>
      </c>
      <c r="C515" s="297">
        <f t="shared" si="92"/>
        <v>25</v>
      </c>
      <c r="D515" s="297">
        <f t="shared" si="96"/>
        <v>1</v>
      </c>
      <c r="E515" s="297">
        <f t="shared" si="97"/>
        <v>17</v>
      </c>
      <c r="F515" s="298">
        <f t="shared" si="98"/>
        <v>3</v>
      </c>
      <c r="G515" s="298">
        <f t="shared" si="99"/>
        <v>3</v>
      </c>
      <c r="H515" s="298">
        <f t="shared" si="100"/>
        <v>18</v>
      </c>
      <c r="I515" s="298">
        <f t="shared" si="101"/>
        <v>1</v>
      </c>
      <c r="J515" s="298">
        <f t="shared" si="102"/>
        <v>19</v>
      </c>
      <c r="K515" s="299">
        <f t="shared" si="103"/>
        <v>186740</v>
      </c>
      <c r="R515" s="497">
        <f t="shared" si="93"/>
        <v>186740</v>
      </c>
      <c r="T515" s="302">
        <f t="shared" si="94"/>
        <v>186740</v>
      </c>
    </row>
    <row r="516" spans="2:20">
      <c r="B516" s="604">
        <f t="shared" si="95"/>
        <v>2412</v>
      </c>
      <c r="C516" s="297">
        <f t="shared" si="92"/>
        <v>25</v>
      </c>
      <c r="D516" s="297">
        <f t="shared" si="96"/>
        <v>1</v>
      </c>
      <c r="E516" s="297">
        <f t="shared" si="97"/>
        <v>18</v>
      </c>
      <c r="F516" s="298">
        <f t="shared" si="98"/>
        <v>0</v>
      </c>
      <c r="G516" s="298">
        <f t="shared" si="99"/>
        <v>4</v>
      </c>
      <c r="H516" s="298">
        <f t="shared" si="100"/>
        <v>7</v>
      </c>
      <c r="I516" s="298">
        <f t="shared" si="101"/>
        <v>3</v>
      </c>
      <c r="J516" s="298">
        <f t="shared" si="102"/>
        <v>10</v>
      </c>
      <c r="K516" s="299">
        <f t="shared" si="103"/>
        <v>187097</v>
      </c>
      <c r="R516" s="497">
        <f t="shared" si="93"/>
        <v>187097</v>
      </c>
      <c r="T516" s="302">
        <f t="shared" si="94"/>
        <v>187097</v>
      </c>
    </row>
    <row r="517" spans="2:20">
      <c r="B517" s="604">
        <f t="shared" si="95"/>
        <v>2413</v>
      </c>
      <c r="C517" s="297">
        <f t="shared" ref="C517:C580" si="104">VLOOKUP(B517,$M$4:$P$86,3,TRUE)</f>
        <v>25</v>
      </c>
      <c r="D517" s="297">
        <f t="shared" si="96"/>
        <v>1</v>
      </c>
      <c r="E517" s="297">
        <f t="shared" si="97"/>
        <v>0</v>
      </c>
      <c r="F517" s="298">
        <f t="shared" si="98"/>
        <v>1</v>
      </c>
      <c r="G517" s="298">
        <f t="shared" si="99"/>
        <v>5</v>
      </c>
      <c r="H517" s="298">
        <f t="shared" si="100"/>
        <v>25</v>
      </c>
      <c r="I517" s="298">
        <f t="shared" si="101"/>
        <v>5</v>
      </c>
      <c r="J517" s="298">
        <f t="shared" si="102"/>
        <v>30</v>
      </c>
      <c r="K517" s="299">
        <f t="shared" si="103"/>
        <v>187482</v>
      </c>
      <c r="R517" s="497">
        <f t="shared" ref="R517:R580" si="105">IF(MOD(19*MOD(B517,19)+C517,30)+MOD(2*MOD(B517,4)+4*MOD(B517,7)+6*MOD(19*MOD(B517,19)+C517,30)+D517,7)-9&lt;=0,DATE(B517,3,22+MOD(19*MOD(B517,19)+C517,30)+MOD(2*MOD(B517,4)+4*MOD(B517,7)+6*MOD(19*MOD(B517,19)+C517,30)+D517,7)),DATE(B517,4,MOD(19*MOD(B517,19)+C517,30)+MOD(2*MOD(B517,4)+4*MOD(B517,7)+6*MOD(19*MOD(B517,19)+C517,30)+D517,7)-9))</f>
        <v>187482</v>
      </c>
      <c r="T517" s="302">
        <f t="shared" ref="T517:T580" si="106">DOLLAR(("4/"&amp;B517)/7+MOD(19*MOD(B517,19)-7,30)*14%,)*7-6</f>
        <v>187482</v>
      </c>
    </row>
    <row r="518" spans="2:20">
      <c r="B518" s="604">
        <f t="shared" ref="B518:B581" si="107">B517+1</f>
        <v>2414</v>
      </c>
      <c r="C518" s="297">
        <f t="shared" si="104"/>
        <v>25</v>
      </c>
      <c r="D518" s="297">
        <f t="shared" si="96"/>
        <v>1</v>
      </c>
      <c r="E518" s="297">
        <f t="shared" si="97"/>
        <v>1</v>
      </c>
      <c r="F518" s="298">
        <f t="shared" si="98"/>
        <v>2</v>
      </c>
      <c r="G518" s="298">
        <f t="shared" si="99"/>
        <v>6</v>
      </c>
      <c r="H518" s="298">
        <f t="shared" si="100"/>
        <v>14</v>
      </c>
      <c r="I518" s="298">
        <f t="shared" si="101"/>
        <v>1</v>
      </c>
      <c r="J518" s="298">
        <f t="shared" si="102"/>
        <v>15</v>
      </c>
      <c r="K518" s="299">
        <f t="shared" si="103"/>
        <v>187832</v>
      </c>
      <c r="R518" s="497">
        <f t="shared" si="105"/>
        <v>187832</v>
      </c>
      <c r="T518" s="302">
        <f t="shared" si="106"/>
        <v>187832</v>
      </c>
    </row>
    <row r="519" spans="2:20">
      <c r="B519" s="604">
        <f t="shared" si="107"/>
        <v>2415</v>
      </c>
      <c r="C519" s="297">
        <f t="shared" si="104"/>
        <v>25</v>
      </c>
      <c r="D519" s="297">
        <f t="shared" si="96"/>
        <v>1</v>
      </c>
      <c r="E519" s="297">
        <f t="shared" si="97"/>
        <v>2</v>
      </c>
      <c r="F519" s="298">
        <f t="shared" si="98"/>
        <v>3</v>
      </c>
      <c r="G519" s="298">
        <f t="shared" si="99"/>
        <v>0</v>
      </c>
      <c r="H519" s="298">
        <f t="shared" si="100"/>
        <v>3</v>
      </c>
      <c r="I519" s="298">
        <f t="shared" si="101"/>
        <v>4</v>
      </c>
      <c r="J519" s="298">
        <f t="shared" si="102"/>
        <v>7</v>
      </c>
      <c r="K519" s="299">
        <f t="shared" si="103"/>
        <v>188189</v>
      </c>
      <c r="R519" s="497">
        <f t="shared" si="105"/>
        <v>188189</v>
      </c>
      <c r="T519" s="302">
        <f t="shared" si="106"/>
        <v>188189</v>
      </c>
    </row>
    <row r="520" spans="2:20">
      <c r="B520" s="604">
        <f t="shared" si="107"/>
        <v>2416</v>
      </c>
      <c r="C520" s="297">
        <f t="shared" si="104"/>
        <v>25</v>
      </c>
      <c r="D520" s="297">
        <f t="shared" si="96"/>
        <v>1</v>
      </c>
      <c r="E520" s="297">
        <f t="shared" si="97"/>
        <v>3</v>
      </c>
      <c r="F520" s="298">
        <f t="shared" si="98"/>
        <v>0</v>
      </c>
      <c r="G520" s="298">
        <f t="shared" si="99"/>
        <v>1</v>
      </c>
      <c r="H520" s="298">
        <f t="shared" si="100"/>
        <v>22</v>
      </c>
      <c r="I520" s="298">
        <f t="shared" si="101"/>
        <v>4</v>
      </c>
      <c r="J520" s="298">
        <f t="shared" si="102"/>
        <v>26</v>
      </c>
      <c r="K520" s="299">
        <f t="shared" si="103"/>
        <v>188574</v>
      </c>
      <c r="R520" s="497">
        <f t="shared" si="105"/>
        <v>188574</v>
      </c>
      <c r="T520" s="302">
        <f t="shared" si="106"/>
        <v>188574</v>
      </c>
    </row>
    <row r="521" spans="2:20">
      <c r="B521" s="604">
        <f t="shared" si="107"/>
        <v>2417</v>
      </c>
      <c r="C521" s="297">
        <f t="shared" si="104"/>
        <v>25</v>
      </c>
      <c r="D521" s="297">
        <f t="shared" si="96"/>
        <v>1</v>
      </c>
      <c r="E521" s="297">
        <f t="shared" si="97"/>
        <v>4</v>
      </c>
      <c r="F521" s="298">
        <f t="shared" si="98"/>
        <v>1</v>
      </c>
      <c r="G521" s="298">
        <f t="shared" si="99"/>
        <v>2</v>
      </c>
      <c r="H521" s="298">
        <f t="shared" si="100"/>
        <v>11</v>
      </c>
      <c r="I521" s="298">
        <f t="shared" si="101"/>
        <v>0</v>
      </c>
      <c r="J521" s="298">
        <f t="shared" si="102"/>
        <v>11</v>
      </c>
      <c r="K521" s="299">
        <f t="shared" si="103"/>
        <v>188924</v>
      </c>
      <c r="R521" s="497">
        <f t="shared" si="105"/>
        <v>188924</v>
      </c>
      <c r="T521" s="302">
        <f t="shared" si="106"/>
        <v>188924</v>
      </c>
    </row>
    <row r="522" spans="2:20">
      <c r="B522" s="604">
        <f t="shared" si="107"/>
        <v>2418</v>
      </c>
      <c r="C522" s="297">
        <f t="shared" si="104"/>
        <v>25</v>
      </c>
      <c r="D522" s="297">
        <f t="shared" ref="D522:D585" si="108">VLOOKUP(B522,$M$4:$P$86,4,TRUE)</f>
        <v>1</v>
      </c>
      <c r="E522" s="297">
        <f t="shared" ref="E522:E585" si="109">MOD(B522,19)</f>
        <v>5</v>
      </c>
      <c r="F522" s="298">
        <f t="shared" ref="F522:F585" si="110">MOD(B522,4)</f>
        <v>2</v>
      </c>
      <c r="G522" s="298">
        <f t="shared" ref="G522:G585" si="111">MOD(B522,7)</f>
        <v>3</v>
      </c>
      <c r="H522" s="298">
        <f t="shared" ref="H522:H585" si="112">MOD(19*E522+C522,30)</f>
        <v>0</v>
      </c>
      <c r="I522" s="298">
        <f t="shared" ref="I522:I585" si="113">MOD(2*F522+4*G522+6*H522+D522,7)</f>
        <v>3</v>
      </c>
      <c r="J522" s="298">
        <f t="shared" ref="J522:J585" si="114">H522+I522</f>
        <v>3</v>
      </c>
      <c r="K522" s="299">
        <f t="shared" ref="K522:K585" si="115">IF(J522&lt;10,DATE(B522,3,J522+22),IF(J522-9=26,DATE(B522,4,19),IF(AND(J522-9=25,H522=28,I522=6,E522&gt;10),DATE(B522,4,18),DATE(B522,4,J522-9))))</f>
        <v>189281</v>
      </c>
      <c r="R522" s="497">
        <f t="shared" si="105"/>
        <v>189281</v>
      </c>
      <c r="T522" s="302">
        <f t="shared" si="106"/>
        <v>189309</v>
      </c>
    </row>
    <row r="523" spans="2:20">
      <c r="B523" s="604">
        <f t="shared" si="107"/>
        <v>2419</v>
      </c>
      <c r="C523" s="297">
        <f t="shared" si="104"/>
        <v>25</v>
      </c>
      <c r="D523" s="297">
        <f t="shared" si="108"/>
        <v>1</v>
      </c>
      <c r="E523" s="297">
        <f t="shared" si="109"/>
        <v>6</v>
      </c>
      <c r="F523" s="298">
        <f t="shared" si="110"/>
        <v>3</v>
      </c>
      <c r="G523" s="298">
        <f t="shared" si="111"/>
        <v>4</v>
      </c>
      <c r="H523" s="298">
        <f t="shared" si="112"/>
        <v>19</v>
      </c>
      <c r="I523" s="298">
        <f t="shared" si="113"/>
        <v>4</v>
      </c>
      <c r="J523" s="298">
        <f t="shared" si="114"/>
        <v>23</v>
      </c>
      <c r="K523" s="299">
        <f t="shared" si="115"/>
        <v>189666</v>
      </c>
      <c r="R523" s="497">
        <f t="shared" si="105"/>
        <v>189666</v>
      </c>
      <c r="T523" s="302">
        <f t="shared" si="106"/>
        <v>189666</v>
      </c>
    </row>
    <row r="524" spans="2:20">
      <c r="B524" s="604">
        <f t="shared" si="107"/>
        <v>2420</v>
      </c>
      <c r="C524" s="297">
        <f t="shared" si="104"/>
        <v>25</v>
      </c>
      <c r="D524" s="297">
        <f t="shared" si="108"/>
        <v>1</v>
      </c>
      <c r="E524" s="297">
        <f t="shared" si="109"/>
        <v>7</v>
      </c>
      <c r="F524" s="298">
        <f t="shared" si="110"/>
        <v>0</v>
      </c>
      <c r="G524" s="298">
        <f t="shared" si="111"/>
        <v>5</v>
      </c>
      <c r="H524" s="298">
        <f t="shared" si="112"/>
        <v>8</v>
      </c>
      <c r="I524" s="298">
        <f t="shared" si="113"/>
        <v>6</v>
      </c>
      <c r="J524" s="298">
        <f t="shared" si="114"/>
        <v>14</v>
      </c>
      <c r="K524" s="299">
        <f t="shared" si="115"/>
        <v>190023</v>
      </c>
      <c r="R524" s="497">
        <f t="shared" si="105"/>
        <v>190023</v>
      </c>
      <c r="T524" s="302">
        <f t="shared" si="106"/>
        <v>190016</v>
      </c>
    </row>
    <row r="525" spans="2:20">
      <c r="B525" s="604">
        <f t="shared" si="107"/>
        <v>2421</v>
      </c>
      <c r="C525" s="297">
        <f t="shared" si="104"/>
        <v>25</v>
      </c>
      <c r="D525" s="297">
        <f t="shared" si="108"/>
        <v>1</v>
      </c>
      <c r="E525" s="297">
        <f t="shared" si="109"/>
        <v>8</v>
      </c>
      <c r="F525" s="298">
        <f t="shared" si="110"/>
        <v>1</v>
      </c>
      <c r="G525" s="298">
        <f t="shared" si="111"/>
        <v>6</v>
      </c>
      <c r="H525" s="298">
        <f t="shared" si="112"/>
        <v>27</v>
      </c>
      <c r="I525" s="298">
        <f t="shared" si="113"/>
        <v>0</v>
      </c>
      <c r="J525" s="298">
        <f t="shared" si="114"/>
        <v>27</v>
      </c>
      <c r="K525" s="299">
        <f t="shared" si="115"/>
        <v>190401</v>
      </c>
      <c r="R525" s="497">
        <f t="shared" si="105"/>
        <v>190401</v>
      </c>
      <c r="T525" s="302">
        <f t="shared" si="106"/>
        <v>190401</v>
      </c>
    </row>
    <row r="526" spans="2:20">
      <c r="B526" s="604">
        <f t="shared" si="107"/>
        <v>2422</v>
      </c>
      <c r="C526" s="297">
        <f t="shared" si="104"/>
        <v>25</v>
      </c>
      <c r="D526" s="297">
        <f t="shared" si="108"/>
        <v>1</v>
      </c>
      <c r="E526" s="297">
        <f t="shared" si="109"/>
        <v>9</v>
      </c>
      <c r="F526" s="298">
        <f t="shared" si="110"/>
        <v>2</v>
      </c>
      <c r="G526" s="298">
        <f t="shared" si="111"/>
        <v>0</v>
      </c>
      <c r="H526" s="298">
        <f t="shared" si="112"/>
        <v>16</v>
      </c>
      <c r="I526" s="298">
        <f t="shared" si="113"/>
        <v>3</v>
      </c>
      <c r="J526" s="298">
        <f t="shared" si="114"/>
        <v>19</v>
      </c>
      <c r="K526" s="299">
        <f t="shared" si="115"/>
        <v>190758</v>
      </c>
      <c r="R526" s="497">
        <f t="shared" si="105"/>
        <v>190758</v>
      </c>
      <c r="T526" s="302">
        <f t="shared" si="106"/>
        <v>190758</v>
      </c>
    </row>
    <row r="527" spans="2:20">
      <c r="B527" s="604">
        <f t="shared" si="107"/>
        <v>2423</v>
      </c>
      <c r="C527" s="297">
        <f t="shared" si="104"/>
        <v>25</v>
      </c>
      <c r="D527" s="297">
        <f t="shared" si="108"/>
        <v>1</v>
      </c>
      <c r="E527" s="297">
        <f t="shared" si="109"/>
        <v>10</v>
      </c>
      <c r="F527" s="298">
        <f t="shared" si="110"/>
        <v>3</v>
      </c>
      <c r="G527" s="298">
        <f t="shared" si="111"/>
        <v>1</v>
      </c>
      <c r="H527" s="298">
        <f t="shared" si="112"/>
        <v>5</v>
      </c>
      <c r="I527" s="298">
        <f t="shared" si="113"/>
        <v>6</v>
      </c>
      <c r="J527" s="298">
        <f t="shared" si="114"/>
        <v>11</v>
      </c>
      <c r="K527" s="299">
        <f t="shared" si="115"/>
        <v>191115</v>
      </c>
      <c r="R527" s="497">
        <f t="shared" si="105"/>
        <v>191115</v>
      </c>
      <c r="T527" s="302">
        <f t="shared" si="106"/>
        <v>191108</v>
      </c>
    </row>
    <row r="528" spans="2:20">
      <c r="B528" s="604">
        <f t="shared" si="107"/>
        <v>2424</v>
      </c>
      <c r="C528" s="297">
        <f t="shared" si="104"/>
        <v>25</v>
      </c>
      <c r="D528" s="297">
        <f t="shared" si="108"/>
        <v>1</v>
      </c>
      <c r="E528" s="297">
        <f t="shared" si="109"/>
        <v>11</v>
      </c>
      <c r="F528" s="298">
        <f t="shared" si="110"/>
        <v>0</v>
      </c>
      <c r="G528" s="298">
        <f t="shared" si="111"/>
        <v>2</v>
      </c>
      <c r="H528" s="298">
        <f t="shared" si="112"/>
        <v>24</v>
      </c>
      <c r="I528" s="298">
        <f t="shared" si="113"/>
        <v>6</v>
      </c>
      <c r="J528" s="298">
        <f t="shared" si="114"/>
        <v>30</v>
      </c>
      <c r="K528" s="299">
        <f t="shared" si="115"/>
        <v>191500</v>
      </c>
      <c r="R528" s="497">
        <f t="shared" si="105"/>
        <v>191500</v>
      </c>
      <c r="T528" s="302">
        <f t="shared" si="106"/>
        <v>191493</v>
      </c>
    </row>
    <row r="529" spans="2:20">
      <c r="B529" s="604">
        <f t="shared" si="107"/>
        <v>2425</v>
      </c>
      <c r="C529" s="297">
        <f t="shared" si="104"/>
        <v>25</v>
      </c>
      <c r="D529" s="297">
        <f t="shared" si="108"/>
        <v>1</v>
      </c>
      <c r="E529" s="297">
        <f t="shared" si="109"/>
        <v>12</v>
      </c>
      <c r="F529" s="298">
        <f t="shared" si="110"/>
        <v>1</v>
      </c>
      <c r="G529" s="298">
        <f t="shared" si="111"/>
        <v>3</v>
      </c>
      <c r="H529" s="298">
        <f t="shared" si="112"/>
        <v>13</v>
      </c>
      <c r="I529" s="298">
        <f t="shared" si="113"/>
        <v>2</v>
      </c>
      <c r="J529" s="298">
        <f t="shared" si="114"/>
        <v>15</v>
      </c>
      <c r="K529" s="299">
        <f t="shared" si="115"/>
        <v>191850</v>
      </c>
      <c r="R529" s="497">
        <f t="shared" si="105"/>
        <v>191850</v>
      </c>
      <c r="T529" s="302">
        <f t="shared" si="106"/>
        <v>191850</v>
      </c>
    </row>
    <row r="530" spans="2:20">
      <c r="B530" s="604">
        <f t="shared" si="107"/>
        <v>2426</v>
      </c>
      <c r="C530" s="297">
        <f t="shared" si="104"/>
        <v>25</v>
      </c>
      <c r="D530" s="297">
        <f t="shared" si="108"/>
        <v>1</v>
      </c>
      <c r="E530" s="297">
        <f t="shared" si="109"/>
        <v>13</v>
      </c>
      <c r="F530" s="298">
        <f t="shared" si="110"/>
        <v>2</v>
      </c>
      <c r="G530" s="298">
        <f t="shared" si="111"/>
        <v>4</v>
      </c>
      <c r="H530" s="298">
        <f t="shared" si="112"/>
        <v>2</v>
      </c>
      <c r="I530" s="298">
        <f t="shared" si="113"/>
        <v>5</v>
      </c>
      <c r="J530" s="298">
        <f t="shared" si="114"/>
        <v>7</v>
      </c>
      <c r="K530" s="299">
        <f t="shared" si="115"/>
        <v>192207</v>
      </c>
      <c r="R530" s="497">
        <f t="shared" si="105"/>
        <v>192207</v>
      </c>
      <c r="T530" s="302">
        <f t="shared" si="106"/>
        <v>192207</v>
      </c>
    </row>
    <row r="531" spans="2:20">
      <c r="B531" s="604">
        <f t="shared" si="107"/>
        <v>2427</v>
      </c>
      <c r="C531" s="297">
        <f t="shared" si="104"/>
        <v>25</v>
      </c>
      <c r="D531" s="297">
        <f t="shared" si="108"/>
        <v>1</v>
      </c>
      <c r="E531" s="297">
        <f t="shared" si="109"/>
        <v>14</v>
      </c>
      <c r="F531" s="298">
        <f t="shared" si="110"/>
        <v>3</v>
      </c>
      <c r="G531" s="298">
        <f t="shared" si="111"/>
        <v>5</v>
      </c>
      <c r="H531" s="298">
        <f t="shared" si="112"/>
        <v>21</v>
      </c>
      <c r="I531" s="298">
        <f t="shared" si="113"/>
        <v>6</v>
      </c>
      <c r="J531" s="298">
        <f t="shared" si="114"/>
        <v>27</v>
      </c>
      <c r="K531" s="299">
        <f t="shared" si="115"/>
        <v>192592</v>
      </c>
      <c r="R531" s="497">
        <f t="shared" si="105"/>
        <v>192592</v>
      </c>
      <c r="T531" s="302">
        <f t="shared" si="106"/>
        <v>192585</v>
      </c>
    </row>
    <row r="532" spans="2:20">
      <c r="B532" s="604">
        <f t="shared" si="107"/>
        <v>2428</v>
      </c>
      <c r="C532" s="297">
        <f t="shared" si="104"/>
        <v>25</v>
      </c>
      <c r="D532" s="297">
        <f t="shared" si="108"/>
        <v>1</v>
      </c>
      <c r="E532" s="297">
        <f t="shared" si="109"/>
        <v>15</v>
      </c>
      <c r="F532" s="298">
        <f t="shared" si="110"/>
        <v>0</v>
      </c>
      <c r="G532" s="298">
        <f t="shared" si="111"/>
        <v>6</v>
      </c>
      <c r="H532" s="298">
        <f t="shared" si="112"/>
        <v>10</v>
      </c>
      <c r="I532" s="298">
        <f t="shared" si="113"/>
        <v>1</v>
      </c>
      <c r="J532" s="298">
        <f t="shared" si="114"/>
        <v>11</v>
      </c>
      <c r="K532" s="299">
        <f t="shared" si="115"/>
        <v>192942</v>
      </c>
      <c r="R532" s="497">
        <f t="shared" si="105"/>
        <v>192942</v>
      </c>
      <c r="T532" s="302">
        <f t="shared" si="106"/>
        <v>192942</v>
      </c>
    </row>
    <row r="533" spans="2:20">
      <c r="B533" s="604">
        <f t="shared" si="107"/>
        <v>2429</v>
      </c>
      <c r="C533" s="297">
        <f t="shared" si="104"/>
        <v>25</v>
      </c>
      <c r="D533" s="297">
        <f t="shared" si="108"/>
        <v>1</v>
      </c>
      <c r="E533" s="297">
        <f t="shared" si="109"/>
        <v>16</v>
      </c>
      <c r="F533" s="298">
        <f t="shared" si="110"/>
        <v>1</v>
      </c>
      <c r="G533" s="298">
        <f t="shared" si="111"/>
        <v>0</v>
      </c>
      <c r="H533" s="298">
        <f t="shared" si="112"/>
        <v>29</v>
      </c>
      <c r="I533" s="298">
        <f t="shared" si="113"/>
        <v>2</v>
      </c>
      <c r="J533" s="298">
        <f t="shared" si="114"/>
        <v>31</v>
      </c>
      <c r="K533" s="299">
        <f t="shared" si="115"/>
        <v>193327</v>
      </c>
      <c r="R533" s="497">
        <f t="shared" si="105"/>
        <v>193327</v>
      </c>
      <c r="T533" s="302">
        <f t="shared" si="106"/>
        <v>193327</v>
      </c>
    </row>
    <row r="534" spans="2:20">
      <c r="B534" s="604">
        <f t="shared" si="107"/>
        <v>2430</v>
      </c>
      <c r="C534" s="297">
        <f t="shared" si="104"/>
        <v>25</v>
      </c>
      <c r="D534" s="297">
        <f t="shared" si="108"/>
        <v>1</v>
      </c>
      <c r="E534" s="297">
        <f t="shared" si="109"/>
        <v>17</v>
      </c>
      <c r="F534" s="298">
        <f t="shared" si="110"/>
        <v>2</v>
      </c>
      <c r="G534" s="298">
        <f t="shared" si="111"/>
        <v>1</v>
      </c>
      <c r="H534" s="298">
        <f t="shared" si="112"/>
        <v>18</v>
      </c>
      <c r="I534" s="298">
        <f t="shared" si="113"/>
        <v>5</v>
      </c>
      <c r="J534" s="298">
        <f t="shared" si="114"/>
        <v>23</v>
      </c>
      <c r="K534" s="299">
        <f t="shared" si="115"/>
        <v>193684</v>
      </c>
      <c r="R534" s="497">
        <f t="shared" si="105"/>
        <v>193684</v>
      </c>
      <c r="T534" s="302">
        <f t="shared" si="106"/>
        <v>193684</v>
      </c>
    </row>
    <row r="535" spans="2:20">
      <c r="B535" s="604">
        <f t="shared" si="107"/>
        <v>2431</v>
      </c>
      <c r="C535" s="297">
        <f t="shared" si="104"/>
        <v>25</v>
      </c>
      <c r="D535" s="297">
        <f t="shared" si="108"/>
        <v>1</v>
      </c>
      <c r="E535" s="297">
        <f t="shared" si="109"/>
        <v>18</v>
      </c>
      <c r="F535" s="298">
        <f t="shared" si="110"/>
        <v>3</v>
      </c>
      <c r="G535" s="298">
        <f t="shared" si="111"/>
        <v>2</v>
      </c>
      <c r="H535" s="298">
        <f t="shared" si="112"/>
        <v>7</v>
      </c>
      <c r="I535" s="298">
        <f t="shared" si="113"/>
        <v>1</v>
      </c>
      <c r="J535" s="298">
        <f t="shared" si="114"/>
        <v>8</v>
      </c>
      <c r="K535" s="299">
        <f t="shared" si="115"/>
        <v>194034</v>
      </c>
      <c r="R535" s="497">
        <f t="shared" si="105"/>
        <v>194034</v>
      </c>
      <c r="T535" s="302">
        <f t="shared" si="106"/>
        <v>194034</v>
      </c>
    </row>
    <row r="536" spans="2:20">
      <c r="B536" s="604">
        <f t="shared" si="107"/>
        <v>2432</v>
      </c>
      <c r="C536" s="297">
        <f t="shared" si="104"/>
        <v>25</v>
      </c>
      <c r="D536" s="297">
        <f t="shared" si="108"/>
        <v>1</v>
      </c>
      <c r="E536" s="297">
        <f t="shared" si="109"/>
        <v>0</v>
      </c>
      <c r="F536" s="298">
        <f t="shared" si="110"/>
        <v>0</v>
      </c>
      <c r="G536" s="298">
        <f t="shared" si="111"/>
        <v>3</v>
      </c>
      <c r="H536" s="298">
        <f t="shared" si="112"/>
        <v>25</v>
      </c>
      <c r="I536" s="298">
        <f t="shared" si="113"/>
        <v>2</v>
      </c>
      <c r="J536" s="298">
        <f t="shared" si="114"/>
        <v>27</v>
      </c>
      <c r="K536" s="299">
        <f t="shared" si="115"/>
        <v>194419</v>
      </c>
      <c r="R536" s="497">
        <f t="shared" si="105"/>
        <v>194419</v>
      </c>
      <c r="T536" s="302">
        <f t="shared" si="106"/>
        <v>194419</v>
      </c>
    </row>
    <row r="537" spans="2:20">
      <c r="B537" s="604">
        <f t="shared" si="107"/>
        <v>2433</v>
      </c>
      <c r="C537" s="297">
        <f t="shared" si="104"/>
        <v>25</v>
      </c>
      <c r="D537" s="297">
        <f t="shared" si="108"/>
        <v>1</v>
      </c>
      <c r="E537" s="297">
        <f t="shared" si="109"/>
        <v>1</v>
      </c>
      <c r="F537" s="298">
        <f t="shared" si="110"/>
        <v>1</v>
      </c>
      <c r="G537" s="298">
        <f t="shared" si="111"/>
        <v>4</v>
      </c>
      <c r="H537" s="298">
        <f t="shared" si="112"/>
        <v>14</v>
      </c>
      <c r="I537" s="298">
        <f t="shared" si="113"/>
        <v>5</v>
      </c>
      <c r="J537" s="298">
        <f t="shared" si="114"/>
        <v>19</v>
      </c>
      <c r="K537" s="299">
        <f t="shared" si="115"/>
        <v>194776</v>
      </c>
      <c r="R537" s="497">
        <f t="shared" si="105"/>
        <v>194776</v>
      </c>
      <c r="T537" s="302">
        <f t="shared" si="106"/>
        <v>194776</v>
      </c>
    </row>
    <row r="538" spans="2:20">
      <c r="B538" s="604">
        <f t="shared" si="107"/>
        <v>2434</v>
      </c>
      <c r="C538" s="297">
        <f t="shared" si="104"/>
        <v>25</v>
      </c>
      <c r="D538" s="297">
        <f t="shared" si="108"/>
        <v>1</v>
      </c>
      <c r="E538" s="297">
        <f t="shared" si="109"/>
        <v>2</v>
      </c>
      <c r="F538" s="298">
        <f t="shared" si="110"/>
        <v>2</v>
      </c>
      <c r="G538" s="298">
        <f t="shared" si="111"/>
        <v>5</v>
      </c>
      <c r="H538" s="298">
        <f t="shared" si="112"/>
        <v>3</v>
      </c>
      <c r="I538" s="298">
        <f t="shared" si="113"/>
        <v>1</v>
      </c>
      <c r="J538" s="298">
        <f t="shared" si="114"/>
        <v>4</v>
      </c>
      <c r="K538" s="299">
        <f t="shared" si="115"/>
        <v>195126</v>
      </c>
      <c r="R538" s="497">
        <f t="shared" si="105"/>
        <v>195126</v>
      </c>
      <c r="T538" s="302">
        <f t="shared" si="106"/>
        <v>195126</v>
      </c>
    </row>
    <row r="539" spans="2:20">
      <c r="B539" s="604">
        <f t="shared" si="107"/>
        <v>2435</v>
      </c>
      <c r="C539" s="297">
        <f t="shared" si="104"/>
        <v>25</v>
      </c>
      <c r="D539" s="297">
        <f t="shared" si="108"/>
        <v>1</v>
      </c>
      <c r="E539" s="297">
        <f t="shared" si="109"/>
        <v>3</v>
      </c>
      <c r="F539" s="298">
        <f t="shared" si="110"/>
        <v>3</v>
      </c>
      <c r="G539" s="298">
        <f t="shared" si="111"/>
        <v>6</v>
      </c>
      <c r="H539" s="298">
        <f t="shared" si="112"/>
        <v>22</v>
      </c>
      <c r="I539" s="298">
        <f t="shared" si="113"/>
        <v>2</v>
      </c>
      <c r="J539" s="298">
        <f t="shared" si="114"/>
        <v>24</v>
      </c>
      <c r="K539" s="299">
        <f t="shared" si="115"/>
        <v>195511</v>
      </c>
      <c r="R539" s="497">
        <f t="shared" si="105"/>
        <v>195511</v>
      </c>
      <c r="T539" s="302">
        <f t="shared" si="106"/>
        <v>195511</v>
      </c>
    </row>
    <row r="540" spans="2:20">
      <c r="B540" s="604">
        <f t="shared" si="107"/>
        <v>2436</v>
      </c>
      <c r="C540" s="297">
        <f t="shared" si="104"/>
        <v>25</v>
      </c>
      <c r="D540" s="297">
        <f t="shared" si="108"/>
        <v>1</v>
      </c>
      <c r="E540" s="297">
        <f t="shared" si="109"/>
        <v>4</v>
      </c>
      <c r="F540" s="298">
        <f t="shared" si="110"/>
        <v>0</v>
      </c>
      <c r="G540" s="298">
        <f t="shared" si="111"/>
        <v>0</v>
      </c>
      <c r="H540" s="298">
        <f t="shared" si="112"/>
        <v>11</v>
      </c>
      <c r="I540" s="298">
        <f t="shared" si="113"/>
        <v>4</v>
      </c>
      <c r="J540" s="298">
        <f t="shared" si="114"/>
        <v>15</v>
      </c>
      <c r="K540" s="299">
        <f t="shared" si="115"/>
        <v>195868</v>
      </c>
      <c r="R540" s="497">
        <f t="shared" si="105"/>
        <v>195868</v>
      </c>
      <c r="T540" s="302">
        <f t="shared" si="106"/>
        <v>195868</v>
      </c>
    </row>
    <row r="541" spans="2:20">
      <c r="B541" s="604">
        <f t="shared" si="107"/>
        <v>2437</v>
      </c>
      <c r="C541" s="297">
        <f t="shared" si="104"/>
        <v>25</v>
      </c>
      <c r="D541" s="297">
        <f t="shared" si="108"/>
        <v>1</v>
      </c>
      <c r="E541" s="297">
        <f t="shared" si="109"/>
        <v>5</v>
      </c>
      <c r="F541" s="298">
        <f t="shared" si="110"/>
        <v>1</v>
      </c>
      <c r="G541" s="298">
        <f t="shared" si="111"/>
        <v>1</v>
      </c>
      <c r="H541" s="298">
        <f t="shared" si="112"/>
        <v>0</v>
      </c>
      <c r="I541" s="298">
        <f t="shared" si="113"/>
        <v>0</v>
      </c>
      <c r="J541" s="298">
        <f t="shared" si="114"/>
        <v>0</v>
      </c>
      <c r="K541" s="299">
        <f t="shared" si="115"/>
        <v>196218</v>
      </c>
      <c r="R541" s="497">
        <f t="shared" si="105"/>
        <v>196218</v>
      </c>
      <c r="T541" s="302">
        <f t="shared" si="106"/>
        <v>196246</v>
      </c>
    </row>
    <row r="542" spans="2:20">
      <c r="B542" s="604">
        <f t="shared" si="107"/>
        <v>2438</v>
      </c>
      <c r="C542" s="297">
        <f t="shared" si="104"/>
        <v>25</v>
      </c>
      <c r="D542" s="297">
        <f t="shared" si="108"/>
        <v>1</v>
      </c>
      <c r="E542" s="297">
        <f t="shared" si="109"/>
        <v>6</v>
      </c>
      <c r="F542" s="298">
        <f t="shared" si="110"/>
        <v>2</v>
      </c>
      <c r="G542" s="298">
        <f t="shared" si="111"/>
        <v>2</v>
      </c>
      <c r="H542" s="298">
        <f t="shared" si="112"/>
        <v>19</v>
      </c>
      <c r="I542" s="298">
        <f t="shared" si="113"/>
        <v>1</v>
      </c>
      <c r="J542" s="298">
        <f t="shared" si="114"/>
        <v>20</v>
      </c>
      <c r="K542" s="299">
        <f t="shared" si="115"/>
        <v>196603</v>
      </c>
      <c r="R542" s="497">
        <f t="shared" si="105"/>
        <v>196603</v>
      </c>
      <c r="T542" s="302">
        <f t="shared" si="106"/>
        <v>196603</v>
      </c>
    </row>
    <row r="543" spans="2:20">
      <c r="B543" s="604">
        <f t="shared" si="107"/>
        <v>2439</v>
      </c>
      <c r="C543" s="297">
        <f t="shared" si="104"/>
        <v>25</v>
      </c>
      <c r="D543" s="297">
        <f t="shared" si="108"/>
        <v>1</v>
      </c>
      <c r="E543" s="297">
        <f t="shared" si="109"/>
        <v>7</v>
      </c>
      <c r="F543" s="298">
        <f t="shared" si="110"/>
        <v>3</v>
      </c>
      <c r="G543" s="298">
        <f t="shared" si="111"/>
        <v>3</v>
      </c>
      <c r="H543" s="298">
        <f t="shared" si="112"/>
        <v>8</v>
      </c>
      <c r="I543" s="298">
        <f t="shared" si="113"/>
        <v>4</v>
      </c>
      <c r="J543" s="298">
        <f t="shared" si="114"/>
        <v>12</v>
      </c>
      <c r="K543" s="299">
        <f t="shared" si="115"/>
        <v>196960</v>
      </c>
      <c r="R543" s="497">
        <f t="shared" si="105"/>
        <v>196960</v>
      </c>
      <c r="T543" s="302">
        <f t="shared" si="106"/>
        <v>196960</v>
      </c>
    </row>
    <row r="544" spans="2:20">
      <c r="B544" s="604">
        <f t="shared" si="107"/>
        <v>2440</v>
      </c>
      <c r="C544" s="297">
        <f t="shared" si="104"/>
        <v>25</v>
      </c>
      <c r="D544" s="297">
        <f t="shared" si="108"/>
        <v>1</v>
      </c>
      <c r="E544" s="297">
        <f t="shared" si="109"/>
        <v>8</v>
      </c>
      <c r="F544" s="298">
        <f t="shared" si="110"/>
        <v>0</v>
      </c>
      <c r="G544" s="298">
        <f t="shared" si="111"/>
        <v>4</v>
      </c>
      <c r="H544" s="298">
        <f t="shared" si="112"/>
        <v>27</v>
      </c>
      <c r="I544" s="298">
        <f t="shared" si="113"/>
        <v>4</v>
      </c>
      <c r="J544" s="298">
        <f t="shared" si="114"/>
        <v>31</v>
      </c>
      <c r="K544" s="299">
        <f t="shared" si="115"/>
        <v>197345</v>
      </c>
      <c r="R544" s="497">
        <f t="shared" si="105"/>
        <v>197345</v>
      </c>
      <c r="T544" s="302">
        <f t="shared" si="106"/>
        <v>197345</v>
      </c>
    </row>
    <row r="545" spans="2:20">
      <c r="B545" s="604">
        <f t="shared" si="107"/>
        <v>2441</v>
      </c>
      <c r="C545" s="297">
        <f t="shared" si="104"/>
        <v>25</v>
      </c>
      <c r="D545" s="297">
        <f t="shared" si="108"/>
        <v>1</v>
      </c>
      <c r="E545" s="297">
        <f t="shared" si="109"/>
        <v>9</v>
      </c>
      <c r="F545" s="298">
        <f t="shared" si="110"/>
        <v>1</v>
      </c>
      <c r="G545" s="298">
        <f t="shared" si="111"/>
        <v>5</v>
      </c>
      <c r="H545" s="298">
        <f t="shared" si="112"/>
        <v>16</v>
      </c>
      <c r="I545" s="298">
        <f t="shared" si="113"/>
        <v>0</v>
      </c>
      <c r="J545" s="298">
        <f t="shared" si="114"/>
        <v>16</v>
      </c>
      <c r="K545" s="299">
        <f t="shared" si="115"/>
        <v>197695</v>
      </c>
      <c r="R545" s="497">
        <f t="shared" si="105"/>
        <v>197695</v>
      </c>
      <c r="T545" s="302">
        <f t="shared" si="106"/>
        <v>197695</v>
      </c>
    </row>
    <row r="546" spans="2:20">
      <c r="B546" s="604">
        <f t="shared" si="107"/>
        <v>2442</v>
      </c>
      <c r="C546" s="297">
        <f t="shared" si="104"/>
        <v>25</v>
      </c>
      <c r="D546" s="297">
        <f t="shared" si="108"/>
        <v>1</v>
      </c>
      <c r="E546" s="297">
        <f t="shared" si="109"/>
        <v>10</v>
      </c>
      <c r="F546" s="298">
        <f t="shared" si="110"/>
        <v>2</v>
      </c>
      <c r="G546" s="298">
        <f t="shared" si="111"/>
        <v>6</v>
      </c>
      <c r="H546" s="298">
        <f t="shared" si="112"/>
        <v>5</v>
      </c>
      <c r="I546" s="298">
        <f t="shared" si="113"/>
        <v>3</v>
      </c>
      <c r="J546" s="298">
        <f t="shared" si="114"/>
        <v>8</v>
      </c>
      <c r="K546" s="299">
        <f t="shared" si="115"/>
        <v>198052</v>
      </c>
      <c r="R546" s="497">
        <f t="shared" si="105"/>
        <v>198052</v>
      </c>
      <c r="T546" s="302">
        <f t="shared" si="106"/>
        <v>198052</v>
      </c>
    </row>
    <row r="547" spans="2:20">
      <c r="B547" s="604">
        <f t="shared" si="107"/>
        <v>2443</v>
      </c>
      <c r="C547" s="297">
        <f t="shared" si="104"/>
        <v>25</v>
      </c>
      <c r="D547" s="297">
        <f t="shared" si="108"/>
        <v>1</v>
      </c>
      <c r="E547" s="297">
        <f t="shared" si="109"/>
        <v>11</v>
      </c>
      <c r="F547" s="298">
        <f t="shared" si="110"/>
        <v>3</v>
      </c>
      <c r="G547" s="298">
        <f t="shared" si="111"/>
        <v>0</v>
      </c>
      <c r="H547" s="298">
        <f t="shared" si="112"/>
        <v>24</v>
      </c>
      <c r="I547" s="298">
        <f t="shared" si="113"/>
        <v>4</v>
      </c>
      <c r="J547" s="298">
        <f t="shared" si="114"/>
        <v>28</v>
      </c>
      <c r="K547" s="299">
        <f t="shared" si="115"/>
        <v>198437</v>
      </c>
      <c r="R547" s="497">
        <f t="shared" si="105"/>
        <v>198437</v>
      </c>
      <c r="T547" s="302">
        <f t="shared" si="106"/>
        <v>198437</v>
      </c>
    </row>
    <row r="548" spans="2:20">
      <c r="B548" s="604">
        <f t="shared" si="107"/>
        <v>2444</v>
      </c>
      <c r="C548" s="297">
        <f t="shared" si="104"/>
        <v>25</v>
      </c>
      <c r="D548" s="297">
        <f t="shared" si="108"/>
        <v>1</v>
      </c>
      <c r="E548" s="297">
        <f t="shared" si="109"/>
        <v>12</v>
      </c>
      <c r="F548" s="298">
        <f t="shared" si="110"/>
        <v>0</v>
      </c>
      <c r="G548" s="298">
        <f t="shared" si="111"/>
        <v>1</v>
      </c>
      <c r="H548" s="298">
        <f t="shared" si="112"/>
        <v>13</v>
      </c>
      <c r="I548" s="298">
        <f t="shared" si="113"/>
        <v>6</v>
      </c>
      <c r="J548" s="298">
        <f t="shared" si="114"/>
        <v>19</v>
      </c>
      <c r="K548" s="299">
        <f t="shared" si="115"/>
        <v>198794</v>
      </c>
      <c r="R548" s="497">
        <f t="shared" si="105"/>
        <v>198794</v>
      </c>
      <c r="T548" s="302">
        <f t="shared" si="106"/>
        <v>198787</v>
      </c>
    </row>
    <row r="549" spans="2:20">
      <c r="B549" s="604">
        <f t="shared" si="107"/>
        <v>2445</v>
      </c>
      <c r="C549" s="297">
        <f t="shared" si="104"/>
        <v>25</v>
      </c>
      <c r="D549" s="297">
        <f t="shared" si="108"/>
        <v>1</v>
      </c>
      <c r="E549" s="297">
        <f t="shared" si="109"/>
        <v>13</v>
      </c>
      <c r="F549" s="298">
        <f t="shared" si="110"/>
        <v>1</v>
      </c>
      <c r="G549" s="298">
        <f t="shared" si="111"/>
        <v>2</v>
      </c>
      <c r="H549" s="298">
        <f t="shared" si="112"/>
        <v>2</v>
      </c>
      <c r="I549" s="298">
        <f t="shared" si="113"/>
        <v>2</v>
      </c>
      <c r="J549" s="298">
        <f t="shared" si="114"/>
        <v>4</v>
      </c>
      <c r="K549" s="299">
        <f t="shared" si="115"/>
        <v>199144</v>
      </c>
      <c r="R549" s="497">
        <f t="shared" si="105"/>
        <v>199144</v>
      </c>
      <c r="T549" s="302">
        <f t="shared" si="106"/>
        <v>199144</v>
      </c>
    </row>
    <row r="550" spans="2:20">
      <c r="B550" s="604">
        <f t="shared" si="107"/>
        <v>2446</v>
      </c>
      <c r="C550" s="297">
        <f t="shared" si="104"/>
        <v>25</v>
      </c>
      <c r="D550" s="297">
        <f t="shared" si="108"/>
        <v>1</v>
      </c>
      <c r="E550" s="297">
        <f t="shared" si="109"/>
        <v>14</v>
      </c>
      <c r="F550" s="298">
        <f t="shared" si="110"/>
        <v>2</v>
      </c>
      <c r="G550" s="298">
        <f t="shared" si="111"/>
        <v>3</v>
      </c>
      <c r="H550" s="298">
        <f t="shared" si="112"/>
        <v>21</v>
      </c>
      <c r="I550" s="298">
        <f t="shared" si="113"/>
        <v>3</v>
      </c>
      <c r="J550" s="298">
        <f t="shared" si="114"/>
        <v>24</v>
      </c>
      <c r="K550" s="299">
        <f t="shared" si="115"/>
        <v>199529</v>
      </c>
      <c r="R550" s="497">
        <f t="shared" si="105"/>
        <v>199529</v>
      </c>
      <c r="T550" s="302">
        <f t="shared" si="106"/>
        <v>199529</v>
      </c>
    </row>
    <row r="551" spans="2:20">
      <c r="B551" s="604">
        <f t="shared" si="107"/>
        <v>2447</v>
      </c>
      <c r="C551" s="297">
        <f t="shared" si="104"/>
        <v>25</v>
      </c>
      <c r="D551" s="297">
        <f t="shared" si="108"/>
        <v>1</v>
      </c>
      <c r="E551" s="297">
        <f t="shared" si="109"/>
        <v>15</v>
      </c>
      <c r="F551" s="298">
        <f t="shared" si="110"/>
        <v>3</v>
      </c>
      <c r="G551" s="298">
        <f t="shared" si="111"/>
        <v>4</v>
      </c>
      <c r="H551" s="298">
        <f t="shared" si="112"/>
        <v>10</v>
      </c>
      <c r="I551" s="298">
        <f t="shared" si="113"/>
        <v>6</v>
      </c>
      <c r="J551" s="298">
        <f t="shared" si="114"/>
        <v>16</v>
      </c>
      <c r="K551" s="299">
        <f t="shared" si="115"/>
        <v>199886</v>
      </c>
      <c r="R551" s="497">
        <f t="shared" si="105"/>
        <v>199886</v>
      </c>
      <c r="T551" s="302">
        <f t="shared" si="106"/>
        <v>199879</v>
      </c>
    </row>
    <row r="552" spans="2:20">
      <c r="B552" s="604">
        <f t="shared" si="107"/>
        <v>2448</v>
      </c>
      <c r="C552" s="297">
        <f t="shared" si="104"/>
        <v>25</v>
      </c>
      <c r="D552" s="297">
        <f t="shared" si="108"/>
        <v>1</v>
      </c>
      <c r="E552" s="297">
        <f t="shared" si="109"/>
        <v>16</v>
      </c>
      <c r="F552" s="298">
        <f t="shared" si="110"/>
        <v>0</v>
      </c>
      <c r="G552" s="298">
        <f t="shared" si="111"/>
        <v>5</v>
      </c>
      <c r="H552" s="298">
        <f t="shared" si="112"/>
        <v>29</v>
      </c>
      <c r="I552" s="298">
        <f t="shared" si="113"/>
        <v>6</v>
      </c>
      <c r="J552" s="298">
        <f t="shared" si="114"/>
        <v>35</v>
      </c>
      <c r="K552" s="299">
        <f t="shared" si="115"/>
        <v>200264</v>
      </c>
      <c r="R552" s="497">
        <f t="shared" si="105"/>
        <v>200271</v>
      </c>
      <c r="T552" s="302">
        <f t="shared" si="106"/>
        <v>200264</v>
      </c>
    </row>
    <row r="553" spans="2:20">
      <c r="B553" s="604">
        <f t="shared" si="107"/>
        <v>2449</v>
      </c>
      <c r="C553" s="297">
        <f t="shared" si="104"/>
        <v>25</v>
      </c>
      <c r="D553" s="297">
        <f t="shared" si="108"/>
        <v>1</v>
      </c>
      <c r="E553" s="297">
        <f t="shared" si="109"/>
        <v>17</v>
      </c>
      <c r="F553" s="298">
        <f t="shared" si="110"/>
        <v>1</v>
      </c>
      <c r="G553" s="298">
        <f t="shared" si="111"/>
        <v>6</v>
      </c>
      <c r="H553" s="298">
        <f t="shared" si="112"/>
        <v>18</v>
      </c>
      <c r="I553" s="298">
        <f t="shared" si="113"/>
        <v>2</v>
      </c>
      <c r="J553" s="298">
        <f t="shared" si="114"/>
        <v>20</v>
      </c>
      <c r="K553" s="299">
        <f t="shared" si="115"/>
        <v>200621</v>
      </c>
      <c r="R553" s="497">
        <f t="shared" si="105"/>
        <v>200621</v>
      </c>
      <c r="T553" s="302">
        <f t="shared" si="106"/>
        <v>200621</v>
      </c>
    </row>
    <row r="554" spans="2:20">
      <c r="B554" s="604">
        <f t="shared" si="107"/>
        <v>2450</v>
      </c>
      <c r="C554" s="297">
        <f t="shared" si="104"/>
        <v>25</v>
      </c>
      <c r="D554" s="297">
        <f t="shared" si="108"/>
        <v>1</v>
      </c>
      <c r="E554" s="297">
        <f t="shared" si="109"/>
        <v>18</v>
      </c>
      <c r="F554" s="298">
        <f t="shared" si="110"/>
        <v>2</v>
      </c>
      <c r="G554" s="298">
        <f t="shared" si="111"/>
        <v>0</v>
      </c>
      <c r="H554" s="298">
        <f t="shared" si="112"/>
        <v>7</v>
      </c>
      <c r="I554" s="298">
        <f t="shared" si="113"/>
        <v>5</v>
      </c>
      <c r="J554" s="298">
        <f t="shared" si="114"/>
        <v>12</v>
      </c>
      <c r="K554" s="299">
        <f t="shared" si="115"/>
        <v>200978</v>
      </c>
      <c r="R554" s="497">
        <f t="shared" si="105"/>
        <v>200978</v>
      </c>
      <c r="T554" s="302">
        <f t="shared" si="106"/>
        <v>200978</v>
      </c>
    </row>
    <row r="555" spans="2:20">
      <c r="B555" s="604">
        <f t="shared" si="107"/>
        <v>2451</v>
      </c>
      <c r="C555" s="297">
        <f t="shared" si="104"/>
        <v>25</v>
      </c>
      <c r="D555" s="297">
        <f t="shared" si="108"/>
        <v>1</v>
      </c>
      <c r="E555" s="297">
        <f t="shared" si="109"/>
        <v>0</v>
      </c>
      <c r="F555" s="298">
        <f t="shared" si="110"/>
        <v>3</v>
      </c>
      <c r="G555" s="298">
        <f t="shared" si="111"/>
        <v>1</v>
      </c>
      <c r="H555" s="298">
        <f t="shared" si="112"/>
        <v>25</v>
      </c>
      <c r="I555" s="298">
        <f t="shared" si="113"/>
        <v>0</v>
      </c>
      <c r="J555" s="298">
        <f t="shared" si="114"/>
        <v>25</v>
      </c>
      <c r="K555" s="299">
        <f t="shared" si="115"/>
        <v>201356</v>
      </c>
      <c r="R555" s="497">
        <f t="shared" si="105"/>
        <v>201356</v>
      </c>
      <c r="T555" s="302">
        <f t="shared" si="106"/>
        <v>201356</v>
      </c>
    </row>
    <row r="556" spans="2:20">
      <c r="B556" s="604">
        <f t="shared" si="107"/>
        <v>2452</v>
      </c>
      <c r="C556" s="297">
        <f t="shared" si="104"/>
        <v>25</v>
      </c>
      <c r="D556" s="297">
        <f t="shared" si="108"/>
        <v>1</v>
      </c>
      <c r="E556" s="297">
        <f t="shared" si="109"/>
        <v>1</v>
      </c>
      <c r="F556" s="298">
        <f t="shared" si="110"/>
        <v>0</v>
      </c>
      <c r="G556" s="298">
        <f t="shared" si="111"/>
        <v>2</v>
      </c>
      <c r="H556" s="298">
        <f t="shared" si="112"/>
        <v>14</v>
      </c>
      <c r="I556" s="298">
        <f t="shared" si="113"/>
        <v>2</v>
      </c>
      <c r="J556" s="298">
        <f t="shared" si="114"/>
        <v>16</v>
      </c>
      <c r="K556" s="299">
        <f t="shared" si="115"/>
        <v>201713</v>
      </c>
      <c r="R556" s="497">
        <f t="shared" si="105"/>
        <v>201713</v>
      </c>
      <c r="T556" s="302">
        <f t="shared" si="106"/>
        <v>201713</v>
      </c>
    </row>
    <row r="557" spans="2:20">
      <c r="B557" s="604">
        <f t="shared" si="107"/>
        <v>2453</v>
      </c>
      <c r="C557" s="297">
        <f t="shared" si="104"/>
        <v>25</v>
      </c>
      <c r="D557" s="297">
        <f t="shared" si="108"/>
        <v>1</v>
      </c>
      <c r="E557" s="297">
        <f t="shared" si="109"/>
        <v>2</v>
      </c>
      <c r="F557" s="298">
        <f t="shared" si="110"/>
        <v>1</v>
      </c>
      <c r="G557" s="298">
        <f t="shared" si="111"/>
        <v>3</v>
      </c>
      <c r="H557" s="298">
        <f t="shared" si="112"/>
        <v>3</v>
      </c>
      <c r="I557" s="298">
        <f t="shared" si="113"/>
        <v>5</v>
      </c>
      <c r="J557" s="298">
        <f t="shared" si="114"/>
        <v>8</v>
      </c>
      <c r="K557" s="299">
        <f t="shared" si="115"/>
        <v>202070</v>
      </c>
      <c r="R557" s="497">
        <f t="shared" si="105"/>
        <v>202070</v>
      </c>
      <c r="T557" s="302">
        <f t="shared" si="106"/>
        <v>202070</v>
      </c>
    </row>
    <row r="558" spans="2:20">
      <c r="B558" s="604">
        <f t="shared" si="107"/>
        <v>2454</v>
      </c>
      <c r="C558" s="297">
        <f t="shared" si="104"/>
        <v>25</v>
      </c>
      <c r="D558" s="297">
        <f t="shared" si="108"/>
        <v>1</v>
      </c>
      <c r="E558" s="297">
        <f t="shared" si="109"/>
        <v>3</v>
      </c>
      <c r="F558" s="298">
        <f t="shared" si="110"/>
        <v>2</v>
      </c>
      <c r="G558" s="298">
        <f t="shared" si="111"/>
        <v>4</v>
      </c>
      <c r="H558" s="298">
        <f t="shared" si="112"/>
        <v>22</v>
      </c>
      <c r="I558" s="298">
        <f t="shared" si="113"/>
        <v>6</v>
      </c>
      <c r="J558" s="298">
        <f t="shared" si="114"/>
        <v>28</v>
      </c>
      <c r="K558" s="299">
        <f t="shared" si="115"/>
        <v>202455</v>
      </c>
      <c r="R558" s="497">
        <f t="shared" si="105"/>
        <v>202455</v>
      </c>
      <c r="T558" s="302">
        <f t="shared" si="106"/>
        <v>202448</v>
      </c>
    </row>
    <row r="559" spans="2:20">
      <c r="B559" s="604">
        <f t="shared" si="107"/>
        <v>2455</v>
      </c>
      <c r="C559" s="297">
        <f t="shared" si="104"/>
        <v>25</v>
      </c>
      <c r="D559" s="297">
        <f t="shared" si="108"/>
        <v>1</v>
      </c>
      <c r="E559" s="297">
        <f t="shared" si="109"/>
        <v>4</v>
      </c>
      <c r="F559" s="298">
        <f t="shared" si="110"/>
        <v>3</v>
      </c>
      <c r="G559" s="298">
        <f t="shared" si="111"/>
        <v>5</v>
      </c>
      <c r="H559" s="298">
        <f t="shared" si="112"/>
        <v>11</v>
      </c>
      <c r="I559" s="298">
        <f t="shared" si="113"/>
        <v>2</v>
      </c>
      <c r="J559" s="298">
        <f t="shared" si="114"/>
        <v>13</v>
      </c>
      <c r="K559" s="299">
        <f t="shared" si="115"/>
        <v>202805</v>
      </c>
      <c r="R559" s="497">
        <f t="shared" si="105"/>
        <v>202805</v>
      </c>
      <c r="T559" s="302">
        <f t="shared" si="106"/>
        <v>202805</v>
      </c>
    </row>
    <row r="560" spans="2:20">
      <c r="B560" s="604">
        <f t="shared" si="107"/>
        <v>2456</v>
      </c>
      <c r="C560" s="297">
        <f t="shared" si="104"/>
        <v>25</v>
      </c>
      <c r="D560" s="297">
        <f t="shared" si="108"/>
        <v>1</v>
      </c>
      <c r="E560" s="297">
        <f t="shared" si="109"/>
        <v>5</v>
      </c>
      <c r="F560" s="298">
        <f t="shared" si="110"/>
        <v>0</v>
      </c>
      <c r="G560" s="298">
        <f t="shared" si="111"/>
        <v>6</v>
      </c>
      <c r="H560" s="298">
        <f t="shared" si="112"/>
        <v>0</v>
      </c>
      <c r="I560" s="298">
        <f t="shared" si="113"/>
        <v>4</v>
      </c>
      <c r="J560" s="298">
        <f t="shared" si="114"/>
        <v>4</v>
      </c>
      <c r="K560" s="299">
        <f t="shared" si="115"/>
        <v>203162</v>
      </c>
      <c r="R560" s="497">
        <f t="shared" si="105"/>
        <v>203162</v>
      </c>
      <c r="T560" s="302">
        <f t="shared" si="106"/>
        <v>203190</v>
      </c>
    </row>
    <row r="561" spans="2:20">
      <c r="B561" s="604">
        <f t="shared" si="107"/>
        <v>2457</v>
      </c>
      <c r="C561" s="297">
        <f t="shared" si="104"/>
        <v>25</v>
      </c>
      <c r="D561" s="297">
        <f t="shared" si="108"/>
        <v>1</v>
      </c>
      <c r="E561" s="297">
        <f t="shared" si="109"/>
        <v>6</v>
      </c>
      <c r="F561" s="298">
        <f t="shared" si="110"/>
        <v>1</v>
      </c>
      <c r="G561" s="298">
        <f t="shared" si="111"/>
        <v>0</v>
      </c>
      <c r="H561" s="298">
        <f t="shared" si="112"/>
        <v>19</v>
      </c>
      <c r="I561" s="298">
        <f t="shared" si="113"/>
        <v>5</v>
      </c>
      <c r="J561" s="298">
        <f t="shared" si="114"/>
        <v>24</v>
      </c>
      <c r="K561" s="299">
        <f t="shared" si="115"/>
        <v>203547</v>
      </c>
      <c r="R561" s="497">
        <f t="shared" si="105"/>
        <v>203547</v>
      </c>
      <c r="T561" s="302">
        <f t="shared" si="106"/>
        <v>203547</v>
      </c>
    </row>
    <row r="562" spans="2:20">
      <c r="B562" s="604">
        <f t="shared" si="107"/>
        <v>2458</v>
      </c>
      <c r="C562" s="297">
        <f t="shared" si="104"/>
        <v>25</v>
      </c>
      <c r="D562" s="297">
        <f t="shared" si="108"/>
        <v>1</v>
      </c>
      <c r="E562" s="297">
        <f t="shared" si="109"/>
        <v>7</v>
      </c>
      <c r="F562" s="298">
        <f t="shared" si="110"/>
        <v>2</v>
      </c>
      <c r="G562" s="298">
        <f t="shared" si="111"/>
        <v>1</v>
      </c>
      <c r="H562" s="298">
        <f t="shared" si="112"/>
        <v>8</v>
      </c>
      <c r="I562" s="298">
        <f t="shared" si="113"/>
        <v>1</v>
      </c>
      <c r="J562" s="298">
        <f t="shared" si="114"/>
        <v>9</v>
      </c>
      <c r="K562" s="299">
        <f t="shared" si="115"/>
        <v>203897</v>
      </c>
      <c r="R562" s="497">
        <f t="shared" si="105"/>
        <v>203897</v>
      </c>
      <c r="T562" s="302">
        <f t="shared" si="106"/>
        <v>203897</v>
      </c>
    </row>
    <row r="563" spans="2:20">
      <c r="B563" s="604">
        <f t="shared" si="107"/>
        <v>2459</v>
      </c>
      <c r="C563" s="297">
        <f t="shared" si="104"/>
        <v>25</v>
      </c>
      <c r="D563" s="297">
        <f t="shared" si="108"/>
        <v>1</v>
      </c>
      <c r="E563" s="297">
        <f t="shared" si="109"/>
        <v>8</v>
      </c>
      <c r="F563" s="298">
        <f t="shared" si="110"/>
        <v>3</v>
      </c>
      <c r="G563" s="298">
        <f t="shared" si="111"/>
        <v>2</v>
      </c>
      <c r="H563" s="298">
        <f t="shared" si="112"/>
        <v>27</v>
      </c>
      <c r="I563" s="298">
        <f t="shared" si="113"/>
        <v>2</v>
      </c>
      <c r="J563" s="298">
        <f t="shared" si="114"/>
        <v>29</v>
      </c>
      <c r="K563" s="299">
        <f t="shared" si="115"/>
        <v>204282</v>
      </c>
      <c r="R563" s="497">
        <f t="shared" si="105"/>
        <v>204282</v>
      </c>
      <c r="T563" s="302">
        <f t="shared" si="106"/>
        <v>204282</v>
      </c>
    </row>
    <row r="564" spans="2:20">
      <c r="B564" s="604">
        <f t="shared" si="107"/>
        <v>2460</v>
      </c>
      <c r="C564" s="297">
        <f t="shared" si="104"/>
        <v>25</v>
      </c>
      <c r="D564" s="297">
        <f t="shared" si="108"/>
        <v>1</v>
      </c>
      <c r="E564" s="297">
        <f t="shared" si="109"/>
        <v>9</v>
      </c>
      <c r="F564" s="298">
        <f t="shared" si="110"/>
        <v>0</v>
      </c>
      <c r="G564" s="298">
        <f t="shared" si="111"/>
        <v>3</v>
      </c>
      <c r="H564" s="298">
        <f t="shared" si="112"/>
        <v>16</v>
      </c>
      <c r="I564" s="298">
        <f t="shared" si="113"/>
        <v>4</v>
      </c>
      <c r="J564" s="298">
        <f t="shared" si="114"/>
        <v>20</v>
      </c>
      <c r="K564" s="299">
        <f t="shared" si="115"/>
        <v>204639</v>
      </c>
      <c r="R564" s="497">
        <f t="shared" si="105"/>
        <v>204639</v>
      </c>
      <c r="T564" s="302">
        <f t="shared" si="106"/>
        <v>204639</v>
      </c>
    </row>
    <row r="565" spans="2:20">
      <c r="B565" s="604">
        <f t="shared" si="107"/>
        <v>2461</v>
      </c>
      <c r="C565" s="297">
        <f t="shared" si="104"/>
        <v>25</v>
      </c>
      <c r="D565" s="297">
        <f t="shared" si="108"/>
        <v>1</v>
      </c>
      <c r="E565" s="297">
        <f t="shared" si="109"/>
        <v>10</v>
      </c>
      <c r="F565" s="298">
        <f t="shared" si="110"/>
        <v>1</v>
      </c>
      <c r="G565" s="298">
        <f t="shared" si="111"/>
        <v>4</v>
      </c>
      <c r="H565" s="298">
        <f t="shared" si="112"/>
        <v>5</v>
      </c>
      <c r="I565" s="298">
        <f t="shared" si="113"/>
        <v>0</v>
      </c>
      <c r="J565" s="298">
        <f t="shared" si="114"/>
        <v>5</v>
      </c>
      <c r="K565" s="299">
        <f t="shared" si="115"/>
        <v>204989</v>
      </c>
      <c r="R565" s="497">
        <f t="shared" si="105"/>
        <v>204989</v>
      </c>
      <c r="T565" s="302">
        <f t="shared" si="106"/>
        <v>204989</v>
      </c>
    </row>
    <row r="566" spans="2:20">
      <c r="B566" s="604">
        <f t="shared" si="107"/>
        <v>2462</v>
      </c>
      <c r="C566" s="297">
        <f t="shared" si="104"/>
        <v>25</v>
      </c>
      <c r="D566" s="297">
        <f t="shared" si="108"/>
        <v>1</v>
      </c>
      <c r="E566" s="297">
        <f t="shared" si="109"/>
        <v>11</v>
      </c>
      <c r="F566" s="298">
        <f t="shared" si="110"/>
        <v>2</v>
      </c>
      <c r="G566" s="298">
        <f t="shared" si="111"/>
        <v>5</v>
      </c>
      <c r="H566" s="298">
        <f t="shared" si="112"/>
        <v>24</v>
      </c>
      <c r="I566" s="298">
        <f t="shared" si="113"/>
        <v>1</v>
      </c>
      <c r="J566" s="298">
        <f t="shared" si="114"/>
        <v>25</v>
      </c>
      <c r="K566" s="299">
        <f t="shared" si="115"/>
        <v>205374</v>
      </c>
      <c r="R566" s="497">
        <f t="shared" si="105"/>
        <v>205374</v>
      </c>
      <c r="T566" s="302">
        <f t="shared" si="106"/>
        <v>205374</v>
      </c>
    </row>
    <row r="567" spans="2:20">
      <c r="B567" s="604">
        <f t="shared" si="107"/>
        <v>2463</v>
      </c>
      <c r="C567" s="297">
        <f t="shared" si="104"/>
        <v>25</v>
      </c>
      <c r="D567" s="297">
        <f t="shared" si="108"/>
        <v>1</v>
      </c>
      <c r="E567" s="297">
        <f t="shared" si="109"/>
        <v>12</v>
      </c>
      <c r="F567" s="298">
        <f t="shared" si="110"/>
        <v>3</v>
      </c>
      <c r="G567" s="298">
        <f t="shared" si="111"/>
        <v>6</v>
      </c>
      <c r="H567" s="298">
        <f t="shared" si="112"/>
        <v>13</v>
      </c>
      <c r="I567" s="298">
        <f t="shared" si="113"/>
        <v>4</v>
      </c>
      <c r="J567" s="298">
        <f t="shared" si="114"/>
        <v>17</v>
      </c>
      <c r="K567" s="299">
        <f t="shared" si="115"/>
        <v>205731</v>
      </c>
      <c r="R567" s="497">
        <f t="shared" si="105"/>
        <v>205731</v>
      </c>
      <c r="T567" s="302">
        <f t="shared" si="106"/>
        <v>205731</v>
      </c>
    </row>
    <row r="568" spans="2:20">
      <c r="B568" s="604">
        <f t="shared" si="107"/>
        <v>2464</v>
      </c>
      <c r="C568" s="297">
        <f t="shared" si="104"/>
        <v>25</v>
      </c>
      <c r="D568" s="297">
        <f t="shared" si="108"/>
        <v>1</v>
      </c>
      <c r="E568" s="297">
        <f t="shared" si="109"/>
        <v>13</v>
      </c>
      <c r="F568" s="298">
        <f t="shared" si="110"/>
        <v>0</v>
      </c>
      <c r="G568" s="298">
        <f t="shared" si="111"/>
        <v>0</v>
      </c>
      <c r="H568" s="298">
        <f t="shared" si="112"/>
        <v>2</v>
      </c>
      <c r="I568" s="298">
        <f t="shared" si="113"/>
        <v>6</v>
      </c>
      <c r="J568" s="298">
        <f t="shared" si="114"/>
        <v>8</v>
      </c>
      <c r="K568" s="299">
        <f t="shared" si="115"/>
        <v>206088</v>
      </c>
      <c r="R568" s="497">
        <f t="shared" si="105"/>
        <v>206088</v>
      </c>
      <c r="T568" s="302">
        <f t="shared" si="106"/>
        <v>206081</v>
      </c>
    </row>
    <row r="569" spans="2:20">
      <c r="B569" s="604">
        <f t="shared" si="107"/>
        <v>2465</v>
      </c>
      <c r="C569" s="297">
        <f t="shared" si="104"/>
        <v>25</v>
      </c>
      <c r="D569" s="297">
        <f t="shared" si="108"/>
        <v>1</v>
      </c>
      <c r="E569" s="297">
        <f t="shared" si="109"/>
        <v>14</v>
      </c>
      <c r="F569" s="298">
        <f t="shared" si="110"/>
        <v>1</v>
      </c>
      <c r="G569" s="298">
        <f t="shared" si="111"/>
        <v>1</v>
      </c>
      <c r="H569" s="298">
        <f t="shared" si="112"/>
        <v>21</v>
      </c>
      <c r="I569" s="298">
        <f t="shared" si="113"/>
        <v>0</v>
      </c>
      <c r="J569" s="298">
        <f t="shared" si="114"/>
        <v>21</v>
      </c>
      <c r="K569" s="299">
        <f t="shared" si="115"/>
        <v>206466</v>
      </c>
      <c r="R569" s="497">
        <f t="shared" si="105"/>
        <v>206466</v>
      </c>
      <c r="T569" s="302">
        <f t="shared" si="106"/>
        <v>206466</v>
      </c>
    </row>
    <row r="570" spans="2:20">
      <c r="B570" s="604">
        <f t="shared" si="107"/>
        <v>2466</v>
      </c>
      <c r="C570" s="297">
        <f t="shared" si="104"/>
        <v>25</v>
      </c>
      <c r="D570" s="297">
        <f t="shared" si="108"/>
        <v>1</v>
      </c>
      <c r="E570" s="297">
        <f t="shared" si="109"/>
        <v>15</v>
      </c>
      <c r="F570" s="298">
        <f t="shared" si="110"/>
        <v>2</v>
      </c>
      <c r="G570" s="298">
        <f t="shared" si="111"/>
        <v>2</v>
      </c>
      <c r="H570" s="298">
        <f t="shared" si="112"/>
        <v>10</v>
      </c>
      <c r="I570" s="298">
        <f t="shared" si="113"/>
        <v>3</v>
      </c>
      <c r="J570" s="298">
        <f t="shared" si="114"/>
        <v>13</v>
      </c>
      <c r="K570" s="299">
        <f t="shared" si="115"/>
        <v>206823</v>
      </c>
      <c r="R570" s="497">
        <f t="shared" si="105"/>
        <v>206823</v>
      </c>
      <c r="T570" s="302">
        <f t="shared" si="106"/>
        <v>206823</v>
      </c>
    </row>
    <row r="571" spans="2:20">
      <c r="B571" s="604">
        <f t="shared" si="107"/>
        <v>2467</v>
      </c>
      <c r="C571" s="297">
        <f t="shared" si="104"/>
        <v>25</v>
      </c>
      <c r="D571" s="297">
        <f t="shared" si="108"/>
        <v>1</v>
      </c>
      <c r="E571" s="297">
        <f t="shared" si="109"/>
        <v>16</v>
      </c>
      <c r="F571" s="298">
        <f t="shared" si="110"/>
        <v>3</v>
      </c>
      <c r="G571" s="298">
        <f t="shared" si="111"/>
        <v>3</v>
      </c>
      <c r="H571" s="298">
        <f t="shared" si="112"/>
        <v>29</v>
      </c>
      <c r="I571" s="298">
        <f t="shared" si="113"/>
        <v>4</v>
      </c>
      <c r="J571" s="298">
        <f t="shared" si="114"/>
        <v>33</v>
      </c>
      <c r="K571" s="299">
        <f t="shared" si="115"/>
        <v>207208</v>
      </c>
      <c r="R571" s="497">
        <f t="shared" si="105"/>
        <v>207208</v>
      </c>
      <c r="T571" s="302">
        <f t="shared" si="106"/>
        <v>207208</v>
      </c>
    </row>
    <row r="572" spans="2:20">
      <c r="B572" s="604">
        <f t="shared" si="107"/>
        <v>2468</v>
      </c>
      <c r="C572" s="297">
        <f t="shared" si="104"/>
        <v>25</v>
      </c>
      <c r="D572" s="297">
        <f t="shared" si="108"/>
        <v>1</v>
      </c>
      <c r="E572" s="297">
        <f t="shared" si="109"/>
        <v>17</v>
      </c>
      <c r="F572" s="298">
        <f t="shared" si="110"/>
        <v>0</v>
      </c>
      <c r="G572" s="298">
        <f t="shared" si="111"/>
        <v>4</v>
      </c>
      <c r="H572" s="298">
        <f t="shared" si="112"/>
        <v>18</v>
      </c>
      <c r="I572" s="298">
        <f t="shared" si="113"/>
        <v>6</v>
      </c>
      <c r="J572" s="298">
        <f t="shared" si="114"/>
        <v>24</v>
      </c>
      <c r="K572" s="299">
        <f t="shared" si="115"/>
        <v>207565</v>
      </c>
      <c r="R572" s="497">
        <f t="shared" si="105"/>
        <v>207565</v>
      </c>
      <c r="T572" s="302">
        <f t="shared" si="106"/>
        <v>207558</v>
      </c>
    </row>
    <row r="573" spans="2:20">
      <c r="B573" s="604">
        <f t="shared" si="107"/>
        <v>2469</v>
      </c>
      <c r="C573" s="297">
        <f t="shared" si="104"/>
        <v>25</v>
      </c>
      <c r="D573" s="297">
        <f t="shared" si="108"/>
        <v>1</v>
      </c>
      <c r="E573" s="297">
        <f t="shared" si="109"/>
        <v>18</v>
      </c>
      <c r="F573" s="298">
        <f t="shared" si="110"/>
        <v>1</v>
      </c>
      <c r="G573" s="298">
        <f t="shared" si="111"/>
        <v>5</v>
      </c>
      <c r="H573" s="298">
        <f t="shared" si="112"/>
        <v>7</v>
      </c>
      <c r="I573" s="298">
        <f t="shared" si="113"/>
        <v>2</v>
      </c>
      <c r="J573" s="298">
        <f t="shared" si="114"/>
        <v>9</v>
      </c>
      <c r="K573" s="299">
        <f t="shared" si="115"/>
        <v>207915</v>
      </c>
      <c r="R573" s="497">
        <f t="shared" si="105"/>
        <v>207915</v>
      </c>
      <c r="T573" s="302">
        <f t="shared" si="106"/>
        <v>207915</v>
      </c>
    </row>
    <row r="574" spans="2:20">
      <c r="B574" s="604">
        <f t="shared" si="107"/>
        <v>2470</v>
      </c>
      <c r="C574" s="297">
        <f t="shared" si="104"/>
        <v>25</v>
      </c>
      <c r="D574" s="297">
        <f t="shared" si="108"/>
        <v>1</v>
      </c>
      <c r="E574" s="297">
        <f t="shared" si="109"/>
        <v>0</v>
      </c>
      <c r="F574" s="298">
        <f t="shared" si="110"/>
        <v>2</v>
      </c>
      <c r="G574" s="298">
        <f t="shared" si="111"/>
        <v>6</v>
      </c>
      <c r="H574" s="298">
        <f t="shared" si="112"/>
        <v>25</v>
      </c>
      <c r="I574" s="298">
        <f t="shared" si="113"/>
        <v>4</v>
      </c>
      <c r="J574" s="298">
        <f t="shared" si="114"/>
        <v>29</v>
      </c>
      <c r="K574" s="299">
        <f t="shared" si="115"/>
        <v>208300</v>
      </c>
      <c r="R574" s="497">
        <f t="shared" si="105"/>
        <v>208300</v>
      </c>
      <c r="T574" s="302">
        <f t="shared" si="106"/>
        <v>208300</v>
      </c>
    </row>
    <row r="575" spans="2:20">
      <c r="B575" s="604">
        <f t="shared" si="107"/>
        <v>2471</v>
      </c>
      <c r="C575" s="297">
        <f t="shared" si="104"/>
        <v>25</v>
      </c>
      <c r="D575" s="297">
        <f t="shared" si="108"/>
        <v>1</v>
      </c>
      <c r="E575" s="297">
        <f t="shared" si="109"/>
        <v>1</v>
      </c>
      <c r="F575" s="298">
        <f t="shared" si="110"/>
        <v>3</v>
      </c>
      <c r="G575" s="298">
        <f t="shared" si="111"/>
        <v>0</v>
      </c>
      <c r="H575" s="298">
        <f t="shared" si="112"/>
        <v>14</v>
      </c>
      <c r="I575" s="298">
        <f t="shared" si="113"/>
        <v>0</v>
      </c>
      <c r="J575" s="298">
        <f t="shared" si="114"/>
        <v>14</v>
      </c>
      <c r="K575" s="299">
        <f t="shared" si="115"/>
        <v>208650</v>
      </c>
      <c r="R575" s="497">
        <f t="shared" si="105"/>
        <v>208650</v>
      </c>
      <c r="T575" s="302">
        <f t="shared" si="106"/>
        <v>208650</v>
      </c>
    </row>
    <row r="576" spans="2:20">
      <c r="B576" s="604">
        <f t="shared" si="107"/>
        <v>2472</v>
      </c>
      <c r="C576" s="297">
        <f t="shared" si="104"/>
        <v>25</v>
      </c>
      <c r="D576" s="297">
        <f t="shared" si="108"/>
        <v>1</v>
      </c>
      <c r="E576" s="297">
        <f t="shared" si="109"/>
        <v>2</v>
      </c>
      <c r="F576" s="298">
        <f t="shared" si="110"/>
        <v>0</v>
      </c>
      <c r="G576" s="298">
        <f t="shared" si="111"/>
        <v>1</v>
      </c>
      <c r="H576" s="298">
        <f t="shared" si="112"/>
        <v>3</v>
      </c>
      <c r="I576" s="298">
        <f t="shared" si="113"/>
        <v>2</v>
      </c>
      <c r="J576" s="298">
        <f t="shared" si="114"/>
        <v>5</v>
      </c>
      <c r="K576" s="299">
        <f t="shared" si="115"/>
        <v>209007</v>
      </c>
      <c r="R576" s="497">
        <f t="shared" si="105"/>
        <v>209007</v>
      </c>
      <c r="T576" s="302">
        <f t="shared" si="106"/>
        <v>209007</v>
      </c>
    </row>
    <row r="577" spans="2:20">
      <c r="B577" s="604">
        <f t="shared" si="107"/>
        <v>2473</v>
      </c>
      <c r="C577" s="297">
        <f t="shared" si="104"/>
        <v>25</v>
      </c>
      <c r="D577" s="297">
        <f t="shared" si="108"/>
        <v>1</v>
      </c>
      <c r="E577" s="297">
        <f t="shared" si="109"/>
        <v>3</v>
      </c>
      <c r="F577" s="298">
        <f t="shared" si="110"/>
        <v>1</v>
      </c>
      <c r="G577" s="298">
        <f t="shared" si="111"/>
        <v>2</v>
      </c>
      <c r="H577" s="298">
        <f t="shared" si="112"/>
        <v>22</v>
      </c>
      <c r="I577" s="298">
        <f t="shared" si="113"/>
        <v>3</v>
      </c>
      <c r="J577" s="298">
        <f t="shared" si="114"/>
        <v>25</v>
      </c>
      <c r="K577" s="299">
        <f t="shared" si="115"/>
        <v>209392</v>
      </c>
      <c r="R577" s="497">
        <f t="shared" si="105"/>
        <v>209392</v>
      </c>
      <c r="T577" s="302">
        <f t="shared" si="106"/>
        <v>209392</v>
      </c>
    </row>
    <row r="578" spans="2:20">
      <c r="B578" s="604">
        <f t="shared" si="107"/>
        <v>2474</v>
      </c>
      <c r="C578" s="297">
        <f t="shared" si="104"/>
        <v>25</v>
      </c>
      <c r="D578" s="297">
        <f t="shared" si="108"/>
        <v>1</v>
      </c>
      <c r="E578" s="297">
        <f t="shared" si="109"/>
        <v>4</v>
      </c>
      <c r="F578" s="298">
        <f t="shared" si="110"/>
        <v>2</v>
      </c>
      <c r="G578" s="298">
        <f t="shared" si="111"/>
        <v>3</v>
      </c>
      <c r="H578" s="298">
        <f t="shared" si="112"/>
        <v>11</v>
      </c>
      <c r="I578" s="298">
        <f t="shared" si="113"/>
        <v>6</v>
      </c>
      <c r="J578" s="298">
        <f t="shared" si="114"/>
        <v>17</v>
      </c>
      <c r="K578" s="299">
        <f t="shared" si="115"/>
        <v>209749</v>
      </c>
      <c r="R578" s="497">
        <f t="shared" si="105"/>
        <v>209749</v>
      </c>
      <c r="T578" s="302">
        <f t="shared" si="106"/>
        <v>209742</v>
      </c>
    </row>
    <row r="579" spans="2:20">
      <c r="B579" s="604">
        <f t="shared" si="107"/>
        <v>2475</v>
      </c>
      <c r="C579" s="297">
        <f t="shared" si="104"/>
        <v>25</v>
      </c>
      <c r="D579" s="297">
        <f t="shared" si="108"/>
        <v>1</v>
      </c>
      <c r="E579" s="297">
        <f t="shared" si="109"/>
        <v>5</v>
      </c>
      <c r="F579" s="298">
        <f t="shared" si="110"/>
        <v>3</v>
      </c>
      <c r="G579" s="298">
        <f t="shared" si="111"/>
        <v>4</v>
      </c>
      <c r="H579" s="298">
        <f t="shared" si="112"/>
        <v>0</v>
      </c>
      <c r="I579" s="298">
        <f t="shared" si="113"/>
        <v>2</v>
      </c>
      <c r="J579" s="298">
        <f t="shared" si="114"/>
        <v>2</v>
      </c>
      <c r="K579" s="299">
        <f t="shared" si="115"/>
        <v>210099</v>
      </c>
      <c r="R579" s="497">
        <f t="shared" si="105"/>
        <v>210099</v>
      </c>
      <c r="T579" s="302">
        <f t="shared" si="106"/>
        <v>210127</v>
      </c>
    </row>
    <row r="580" spans="2:20">
      <c r="B580" s="604">
        <f t="shared" si="107"/>
        <v>2476</v>
      </c>
      <c r="C580" s="297">
        <f t="shared" si="104"/>
        <v>25</v>
      </c>
      <c r="D580" s="297">
        <f t="shared" si="108"/>
        <v>1</v>
      </c>
      <c r="E580" s="297">
        <f t="shared" si="109"/>
        <v>6</v>
      </c>
      <c r="F580" s="298">
        <f t="shared" si="110"/>
        <v>0</v>
      </c>
      <c r="G580" s="298">
        <f t="shared" si="111"/>
        <v>5</v>
      </c>
      <c r="H580" s="298">
        <f t="shared" si="112"/>
        <v>19</v>
      </c>
      <c r="I580" s="298">
        <f t="shared" si="113"/>
        <v>2</v>
      </c>
      <c r="J580" s="298">
        <f t="shared" si="114"/>
        <v>21</v>
      </c>
      <c r="K580" s="299">
        <f t="shared" si="115"/>
        <v>210484</v>
      </c>
      <c r="R580" s="497">
        <f t="shared" si="105"/>
        <v>210484</v>
      </c>
      <c r="T580" s="302">
        <f t="shared" si="106"/>
        <v>210484</v>
      </c>
    </row>
    <row r="581" spans="2:20">
      <c r="B581" s="604">
        <f t="shared" si="107"/>
        <v>2477</v>
      </c>
      <c r="C581" s="297">
        <f t="shared" ref="C581:C644" si="116">VLOOKUP(B581,$M$4:$P$86,3,TRUE)</f>
        <v>25</v>
      </c>
      <c r="D581" s="297">
        <f t="shared" si="108"/>
        <v>1</v>
      </c>
      <c r="E581" s="297">
        <f t="shared" si="109"/>
        <v>7</v>
      </c>
      <c r="F581" s="298">
        <f t="shared" si="110"/>
        <v>1</v>
      </c>
      <c r="G581" s="298">
        <f t="shared" si="111"/>
        <v>6</v>
      </c>
      <c r="H581" s="298">
        <f t="shared" si="112"/>
        <v>8</v>
      </c>
      <c r="I581" s="298">
        <f t="shared" si="113"/>
        <v>5</v>
      </c>
      <c r="J581" s="298">
        <f t="shared" si="114"/>
        <v>13</v>
      </c>
      <c r="K581" s="299">
        <f t="shared" si="115"/>
        <v>210841</v>
      </c>
      <c r="R581" s="497">
        <f t="shared" ref="R581:R644" si="117">IF(MOD(19*MOD(B581,19)+C581,30)+MOD(2*MOD(B581,4)+4*MOD(B581,7)+6*MOD(19*MOD(B581,19)+C581,30)+D581,7)-9&lt;=0,DATE(B581,3,22+MOD(19*MOD(B581,19)+C581,30)+MOD(2*MOD(B581,4)+4*MOD(B581,7)+6*MOD(19*MOD(B581,19)+C581,30)+D581,7)),DATE(B581,4,MOD(19*MOD(B581,19)+C581,30)+MOD(2*MOD(B581,4)+4*MOD(B581,7)+6*MOD(19*MOD(B581,19)+C581,30)+D581,7)-9))</f>
        <v>210841</v>
      </c>
      <c r="T581" s="302">
        <f t="shared" ref="T581:T636" si="118">DOLLAR(("4/"&amp;B581)/7+MOD(19*MOD(B581,19)-7,30)*14%,)*7-6</f>
        <v>210841</v>
      </c>
    </row>
    <row r="582" spans="2:20">
      <c r="B582" s="604">
        <f t="shared" ref="B582:B645" si="119">B581+1</f>
        <v>2478</v>
      </c>
      <c r="C582" s="297">
        <f t="shared" si="116"/>
        <v>25</v>
      </c>
      <c r="D582" s="297">
        <f t="shared" si="108"/>
        <v>1</v>
      </c>
      <c r="E582" s="297">
        <f t="shared" si="109"/>
        <v>8</v>
      </c>
      <c r="F582" s="298">
        <f t="shared" si="110"/>
        <v>2</v>
      </c>
      <c r="G582" s="298">
        <f t="shared" si="111"/>
        <v>0</v>
      </c>
      <c r="H582" s="298">
        <f t="shared" si="112"/>
        <v>27</v>
      </c>
      <c r="I582" s="298">
        <f t="shared" si="113"/>
        <v>6</v>
      </c>
      <c r="J582" s="298">
        <f t="shared" si="114"/>
        <v>33</v>
      </c>
      <c r="K582" s="299">
        <f t="shared" si="115"/>
        <v>211226</v>
      </c>
      <c r="R582" s="497">
        <f t="shared" si="117"/>
        <v>211226</v>
      </c>
      <c r="T582" s="302">
        <f t="shared" si="118"/>
        <v>211219</v>
      </c>
    </row>
    <row r="583" spans="2:20">
      <c r="B583" s="604">
        <f t="shared" si="119"/>
        <v>2479</v>
      </c>
      <c r="C583" s="297">
        <f t="shared" si="116"/>
        <v>25</v>
      </c>
      <c r="D583" s="297">
        <f t="shared" si="108"/>
        <v>1</v>
      </c>
      <c r="E583" s="297">
        <f t="shared" si="109"/>
        <v>9</v>
      </c>
      <c r="F583" s="298">
        <f t="shared" si="110"/>
        <v>3</v>
      </c>
      <c r="G583" s="298">
        <f t="shared" si="111"/>
        <v>1</v>
      </c>
      <c r="H583" s="298">
        <f t="shared" si="112"/>
        <v>16</v>
      </c>
      <c r="I583" s="298">
        <f t="shared" si="113"/>
        <v>2</v>
      </c>
      <c r="J583" s="298">
        <f t="shared" si="114"/>
        <v>18</v>
      </c>
      <c r="K583" s="299">
        <f t="shared" si="115"/>
        <v>211576</v>
      </c>
      <c r="R583" s="497">
        <f t="shared" si="117"/>
        <v>211576</v>
      </c>
      <c r="T583" s="302">
        <f t="shared" si="118"/>
        <v>211576</v>
      </c>
    </row>
    <row r="584" spans="2:20">
      <c r="B584" s="604">
        <f t="shared" si="119"/>
        <v>2480</v>
      </c>
      <c r="C584" s="297">
        <f t="shared" si="116"/>
        <v>25</v>
      </c>
      <c r="D584" s="297">
        <f t="shared" si="108"/>
        <v>1</v>
      </c>
      <c r="E584" s="297">
        <f t="shared" si="109"/>
        <v>10</v>
      </c>
      <c r="F584" s="298">
        <f t="shared" si="110"/>
        <v>0</v>
      </c>
      <c r="G584" s="298">
        <f t="shared" si="111"/>
        <v>2</v>
      </c>
      <c r="H584" s="298">
        <f t="shared" si="112"/>
        <v>5</v>
      </c>
      <c r="I584" s="298">
        <f t="shared" si="113"/>
        <v>4</v>
      </c>
      <c r="J584" s="298">
        <f t="shared" si="114"/>
        <v>9</v>
      </c>
      <c r="K584" s="299">
        <f t="shared" si="115"/>
        <v>211933</v>
      </c>
      <c r="R584" s="497">
        <f t="shared" si="117"/>
        <v>211933</v>
      </c>
      <c r="T584" s="302">
        <f t="shared" si="118"/>
        <v>211933</v>
      </c>
    </row>
    <row r="585" spans="2:20">
      <c r="B585" s="604">
        <f t="shared" si="119"/>
        <v>2481</v>
      </c>
      <c r="C585" s="297">
        <f t="shared" si="116"/>
        <v>25</v>
      </c>
      <c r="D585" s="297">
        <f t="shared" si="108"/>
        <v>1</v>
      </c>
      <c r="E585" s="297">
        <f t="shared" si="109"/>
        <v>11</v>
      </c>
      <c r="F585" s="298">
        <f t="shared" si="110"/>
        <v>1</v>
      </c>
      <c r="G585" s="298">
        <f t="shared" si="111"/>
        <v>3</v>
      </c>
      <c r="H585" s="298">
        <f t="shared" si="112"/>
        <v>24</v>
      </c>
      <c r="I585" s="298">
        <f t="shared" si="113"/>
        <v>5</v>
      </c>
      <c r="J585" s="298">
        <f t="shared" si="114"/>
        <v>29</v>
      </c>
      <c r="K585" s="299">
        <f t="shared" si="115"/>
        <v>212318</v>
      </c>
      <c r="R585" s="497">
        <f t="shared" si="117"/>
        <v>212318</v>
      </c>
      <c r="T585" s="302">
        <f t="shared" si="118"/>
        <v>212318</v>
      </c>
    </row>
    <row r="586" spans="2:20">
      <c r="B586" s="604">
        <f t="shared" si="119"/>
        <v>2482</v>
      </c>
      <c r="C586" s="297">
        <f t="shared" si="116"/>
        <v>25</v>
      </c>
      <c r="D586" s="297">
        <f t="shared" ref="D586:D649" si="120">VLOOKUP(B586,$M$4:$P$86,4,TRUE)</f>
        <v>1</v>
      </c>
      <c r="E586" s="297">
        <f t="shared" ref="E586:E649" si="121">MOD(B586,19)</f>
        <v>12</v>
      </c>
      <c r="F586" s="298">
        <f t="shared" ref="F586:F649" si="122">MOD(B586,4)</f>
        <v>2</v>
      </c>
      <c r="G586" s="298">
        <f t="shared" ref="G586:G649" si="123">MOD(B586,7)</f>
        <v>4</v>
      </c>
      <c r="H586" s="298">
        <f t="shared" ref="H586:H649" si="124">MOD(19*E586+C586,30)</f>
        <v>13</v>
      </c>
      <c r="I586" s="298">
        <f t="shared" ref="I586:I649" si="125">MOD(2*F586+4*G586+6*H586+D586,7)</f>
        <v>1</v>
      </c>
      <c r="J586" s="298">
        <f t="shared" ref="J586:J649" si="126">H586+I586</f>
        <v>14</v>
      </c>
      <c r="K586" s="299">
        <f t="shared" ref="K586:K649" si="127">IF(J586&lt;10,DATE(B586,3,J586+22),IF(J586-9=26,DATE(B586,4,19),IF(AND(J586-9=25,H586=28,I586=6,E586&gt;10),DATE(B586,4,18),DATE(B586,4,J586-9))))</f>
        <v>212668</v>
      </c>
      <c r="R586" s="497">
        <f t="shared" si="117"/>
        <v>212668</v>
      </c>
      <c r="T586" s="302">
        <f t="shared" si="118"/>
        <v>212668</v>
      </c>
    </row>
    <row r="587" spans="2:20">
      <c r="B587" s="604">
        <f t="shared" si="119"/>
        <v>2483</v>
      </c>
      <c r="C587" s="297">
        <f t="shared" si="116"/>
        <v>25</v>
      </c>
      <c r="D587" s="297">
        <f t="shared" si="120"/>
        <v>1</v>
      </c>
      <c r="E587" s="297">
        <f t="shared" si="121"/>
        <v>13</v>
      </c>
      <c r="F587" s="298">
        <f t="shared" si="122"/>
        <v>3</v>
      </c>
      <c r="G587" s="298">
        <f t="shared" si="123"/>
        <v>5</v>
      </c>
      <c r="H587" s="298">
        <f t="shared" si="124"/>
        <v>2</v>
      </c>
      <c r="I587" s="298">
        <f t="shared" si="125"/>
        <v>4</v>
      </c>
      <c r="J587" s="298">
        <f t="shared" si="126"/>
        <v>6</v>
      </c>
      <c r="K587" s="299">
        <f t="shared" si="127"/>
        <v>213025</v>
      </c>
      <c r="R587" s="497">
        <f t="shared" si="117"/>
        <v>213025</v>
      </c>
      <c r="T587" s="302">
        <f t="shared" si="118"/>
        <v>213025</v>
      </c>
    </row>
    <row r="588" spans="2:20">
      <c r="B588" s="604">
        <f t="shared" si="119"/>
        <v>2484</v>
      </c>
      <c r="C588" s="297">
        <f t="shared" si="116"/>
        <v>25</v>
      </c>
      <c r="D588" s="297">
        <f t="shared" si="120"/>
        <v>1</v>
      </c>
      <c r="E588" s="297">
        <f t="shared" si="121"/>
        <v>14</v>
      </c>
      <c r="F588" s="298">
        <f t="shared" si="122"/>
        <v>0</v>
      </c>
      <c r="G588" s="298">
        <f t="shared" si="123"/>
        <v>6</v>
      </c>
      <c r="H588" s="298">
        <f t="shared" si="124"/>
        <v>21</v>
      </c>
      <c r="I588" s="298">
        <f t="shared" si="125"/>
        <v>4</v>
      </c>
      <c r="J588" s="298">
        <f t="shared" si="126"/>
        <v>25</v>
      </c>
      <c r="K588" s="299">
        <f t="shared" si="127"/>
        <v>213410</v>
      </c>
      <c r="R588" s="497">
        <f t="shared" si="117"/>
        <v>213410</v>
      </c>
      <c r="T588" s="302">
        <f t="shared" si="118"/>
        <v>213410</v>
      </c>
    </row>
    <row r="589" spans="2:20">
      <c r="B589" s="604">
        <f t="shared" si="119"/>
        <v>2485</v>
      </c>
      <c r="C589" s="297">
        <f t="shared" si="116"/>
        <v>25</v>
      </c>
      <c r="D589" s="297">
        <f t="shared" si="120"/>
        <v>1</v>
      </c>
      <c r="E589" s="297">
        <f t="shared" si="121"/>
        <v>15</v>
      </c>
      <c r="F589" s="298">
        <f t="shared" si="122"/>
        <v>1</v>
      </c>
      <c r="G589" s="298">
        <f t="shared" si="123"/>
        <v>0</v>
      </c>
      <c r="H589" s="298">
        <f t="shared" si="124"/>
        <v>10</v>
      </c>
      <c r="I589" s="298">
        <f t="shared" si="125"/>
        <v>0</v>
      </c>
      <c r="J589" s="298">
        <f t="shared" si="126"/>
        <v>10</v>
      </c>
      <c r="K589" s="299">
        <f t="shared" si="127"/>
        <v>213760</v>
      </c>
      <c r="R589" s="497">
        <f t="shared" si="117"/>
        <v>213760</v>
      </c>
      <c r="T589" s="302">
        <f t="shared" si="118"/>
        <v>213760</v>
      </c>
    </row>
    <row r="590" spans="2:20">
      <c r="B590" s="604">
        <f t="shared" si="119"/>
        <v>2486</v>
      </c>
      <c r="C590" s="297">
        <f t="shared" si="116"/>
        <v>25</v>
      </c>
      <c r="D590" s="297">
        <f t="shared" si="120"/>
        <v>1</v>
      </c>
      <c r="E590" s="297">
        <f t="shared" si="121"/>
        <v>16</v>
      </c>
      <c r="F590" s="298">
        <f t="shared" si="122"/>
        <v>2</v>
      </c>
      <c r="G590" s="298">
        <f t="shared" si="123"/>
        <v>1</v>
      </c>
      <c r="H590" s="298">
        <f t="shared" si="124"/>
        <v>29</v>
      </c>
      <c r="I590" s="298">
        <f t="shared" si="125"/>
        <v>1</v>
      </c>
      <c r="J590" s="298">
        <f t="shared" si="126"/>
        <v>30</v>
      </c>
      <c r="K590" s="299">
        <f t="shared" si="127"/>
        <v>214145</v>
      </c>
      <c r="R590" s="497">
        <f t="shared" si="117"/>
        <v>214145</v>
      </c>
      <c r="T590" s="302">
        <f t="shared" si="118"/>
        <v>214145</v>
      </c>
    </row>
    <row r="591" spans="2:20">
      <c r="B591" s="604">
        <f t="shared" si="119"/>
        <v>2487</v>
      </c>
      <c r="C591" s="297">
        <f t="shared" si="116"/>
        <v>25</v>
      </c>
      <c r="D591" s="297">
        <f t="shared" si="120"/>
        <v>1</v>
      </c>
      <c r="E591" s="297">
        <f t="shared" si="121"/>
        <v>17</v>
      </c>
      <c r="F591" s="298">
        <f t="shared" si="122"/>
        <v>3</v>
      </c>
      <c r="G591" s="298">
        <f t="shared" si="123"/>
        <v>2</v>
      </c>
      <c r="H591" s="298">
        <f t="shared" si="124"/>
        <v>18</v>
      </c>
      <c r="I591" s="298">
        <f t="shared" si="125"/>
        <v>4</v>
      </c>
      <c r="J591" s="298">
        <f t="shared" si="126"/>
        <v>22</v>
      </c>
      <c r="K591" s="299">
        <f t="shared" si="127"/>
        <v>214502</v>
      </c>
      <c r="R591" s="497">
        <f t="shared" si="117"/>
        <v>214502</v>
      </c>
      <c r="T591" s="302">
        <f t="shared" si="118"/>
        <v>214502</v>
      </c>
    </row>
    <row r="592" spans="2:20">
      <c r="B592" s="604">
        <f t="shared" si="119"/>
        <v>2488</v>
      </c>
      <c r="C592" s="297">
        <f t="shared" si="116"/>
        <v>25</v>
      </c>
      <c r="D592" s="297">
        <f t="shared" si="120"/>
        <v>1</v>
      </c>
      <c r="E592" s="297">
        <f t="shared" si="121"/>
        <v>18</v>
      </c>
      <c r="F592" s="298">
        <f t="shared" si="122"/>
        <v>0</v>
      </c>
      <c r="G592" s="298">
        <f t="shared" si="123"/>
        <v>3</v>
      </c>
      <c r="H592" s="298">
        <f t="shared" si="124"/>
        <v>7</v>
      </c>
      <c r="I592" s="298">
        <f t="shared" si="125"/>
        <v>6</v>
      </c>
      <c r="J592" s="298">
        <f t="shared" si="126"/>
        <v>13</v>
      </c>
      <c r="K592" s="299">
        <f t="shared" si="127"/>
        <v>214859</v>
      </c>
      <c r="R592" s="497">
        <f t="shared" si="117"/>
        <v>214859</v>
      </c>
      <c r="T592" s="302">
        <f t="shared" si="118"/>
        <v>214852</v>
      </c>
    </row>
    <row r="593" spans="2:20">
      <c r="B593" s="604">
        <f t="shared" si="119"/>
        <v>2489</v>
      </c>
      <c r="C593" s="297">
        <f t="shared" si="116"/>
        <v>25</v>
      </c>
      <c r="D593" s="297">
        <f t="shared" si="120"/>
        <v>1</v>
      </c>
      <c r="E593" s="297">
        <f t="shared" si="121"/>
        <v>0</v>
      </c>
      <c r="F593" s="298">
        <f t="shared" si="122"/>
        <v>1</v>
      </c>
      <c r="G593" s="298">
        <f t="shared" si="123"/>
        <v>4</v>
      </c>
      <c r="H593" s="298">
        <f t="shared" si="124"/>
        <v>25</v>
      </c>
      <c r="I593" s="298">
        <f t="shared" si="125"/>
        <v>1</v>
      </c>
      <c r="J593" s="298">
        <f t="shared" si="126"/>
        <v>26</v>
      </c>
      <c r="K593" s="299">
        <f t="shared" si="127"/>
        <v>215237</v>
      </c>
      <c r="R593" s="497">
        <f t="shared" si="117"/>
        <v>215237</v>
      </c>
      <c r="T593" s="302">
        <f t="shared" si="118"/>
        <v>215237</v>
      </c>
    </row>
    <row r="594" spans="2:20">
      <c r="B594" s="604">
        <f t="shared" si="119"/>
        <v>2490</v>
      </c>
      <c r="C594" s="297">
        <f t="shared" si="116"/>
        <v>25</v>
      </c>
      <c r="D594" s="297">
        <f t="shared" si="120"/>
        <v>1</v>
      </c>
      <c r="E594" s="297">
        <f t="shared" si="121"/>
        <v>1</v>
      </c>
      <c r="F594" s="298">
        <f t="shared" si="122"/>
        <v>2</v>
      </c>
      <c r="G594" s="298">
        <f t="shared" si="123"/>
        <v>5</v>
      </c>
      <c r="H594" s="298">
        <f t="shared" si="124"/>
        <v>14</v>
      </c>
      <c r="I594" s="298">
        <f t="shared" si="125"/>
        <v>4</v>
      </c>
      <c r="J594" s="298">
        <f t="shared" si="126"/>
        <v>18</v>
      </c>
      <c r="K594" s="299">
        <f t="shared" si="127"/>
        <v>215594</v>
      </c>
      <c r="R594" s="497">
        <f t="shared" si="117"/>
        <v>215594</v>
      </c>
      <c r="T594" s="302">
        <f t="shared" si="118"/>
        <v>215594</v>
      </c>
    </row>
    <row r="595" spans="2:20">
      <c r="B595" s="604">
        <f t="shared" si="119"/>
        <v>2491</v>
      </c>
      <c r="C595" s="297">
        <f t="shared" si="116"/>
        <v>25</v>
      </c>
      <c r="D595" s="297">
        <f t="shared" si="120"/>
        <v>1</v>
      </c>
      <c r="E595" s="297">
        <f t="shared" si="121"/>
        <v>2</v>
      </c>
      <c r="F595" s="298">
        <f t="shared" si="122"/>
        <v>3</v>
      </c>
      <c r="G595" s="298">
        <f t="shared" si="123"/>
        <v>6</v>
      </c>
      <c r="H595" s="298">
        <f t="shared" si="124"/>
        <v>3</v>
      </c>
      <c r="I595" s="298">
        <f t="shared" si="125"/>
        <v>0</v>
      </c>
      <c r="J595" s="298">
        <f t="shared" si="126"/>
        <v>3</v>
      </c>
      <c r="K595" s="299">
        <f t="shared" si="127"/>
        <v>215944</v>
      </c>
      <c r="R595" s="497">
        <f t="shared" si="117"/>
        <v>215944</v>
      </c>
      <c r="T595" s="302">
        <f t="shared" si="118"/>
        <v>215944</v>
      </c>
    </row>
    <row r="596" spans="2:20">
      <c r="B596" s="604">
        <f t="shared" si="119"/>
        <v>2492</v>
      </c>
      <c r="C596" s="297">
        <f t="shared" si="116"/>
        <v>25</v>
      </c>
      <c r="D596" s="297">
        <f t="shared" si="120"/>
        <v>1</v>
      </c>
      <c r="E596" s="297">
        <f t="shared" si="121"/>
        <v>3</v>
      </c>
      <c r="F596" s="298">
        <f t="shared" si="122"/>
        <v>0</v>
      </c>
      <c r="G596" s="298">
        <f t="shared" si="123"/>
        <v>0</v>
      </c>
      <c r="H596" s="298">
        <f t="shared" si="124"/>
        <v>22</v>
      </c>
      <c r="I596" s="298">
        <f t="shared" si="125"/>
        <v>0</v>
      </c>
      <c r="J596" s="298">
        <f t="shared" si="126"/>
        <v>22</v>
      </c>
      <c r="K596" s="299">
        <f t="shared" si="127"/>
        <v>216329</v>
      </c>
      <c r="R596" s="497">
        <f t="shared" si="117"/>
        <v>216329</v>
      </c>
      <c r="T596" s="302">
        <f t="shared" si="118"/>
        <v>216329</v>
      </c>
    </row>
    <row r="597" spans="2:20">
      <c r="B597" s="604">
        <f t="shared" si="119"/>
        <v>2493</v>
      </c>
      <c r="C597" s="297">
        <f t="shared" si="116"/>
        <v>25</v>
      </c>
      <c r="D597" s="297">
        <f t="shared" si="120"/>
        <v>1</v>
      </c>
      <c r="E597" s="297">
        <f t="shared" si="121"/>
        <v>4</v>
      </c>
      <c r="F597" s="298">
        <f t="shared" si="122"/>
        <v>1</v>
      </c>
      <c r="G597" s="298">
        <f t="shared" si="123"/>
        <v>1</v>
      </c>
      <c r="H597" s="298">
        <f t="shared" si="124"/>
        <v>11</v>
      </c>
      <c r="I597" s="298">
        <f t="shared" si="125"/>
        <v>3</v>
      </c>
      <c r="J597" s="298">
        <f t="shared" si="126"/>
        <v>14</v>
      </c>
      <c r="K597" s="299">
        <f t="shared" si="127"/>
        <v>216686</v>
      </c>
      <c r="R597" s="497">
        <f t="shared" si="117"/>
        <v>216686</v>
      </c>
      <c r="T597" s="302">
        <f t="shared" si="118"/>
        <v>216686</v>
      </c>
    </row>
    <row r="598" spans="2:20">
      <c r="B598" s="604">
        <f t="shared" si="119"/>
        <v>2494</v>
      </c>
      <c r="C598" s="297">
        <f t="shared" si="116"/>
        <v>25</v>
      </c>
      <c r="D598" s="297">
        <f t="shared" si="120"/>
        <v>1</v>
      </c>
      <c r="E598" s="297">
        <f t="shared" si="121"/>
        <v>5</v>
      </c>
      <c r="F598" s="298">
        <f t="shared" si="122"/>
        <v>2</v>
      </c>
      <c r="G598" s="298">
        <f t="shared" si="123"/>
        <v>2</v>
      </c>
      <c r="H598" s="298">
        <f t="shared" si="124"/>
        <v>0</v>
      </c>
      <c r="I598" s="298">
        <f t="shared" si="125"/>
        <v>6</v>
      </c>
      <c r="J598" s="298">
        <f t="shared" si="126"/>
        <v>6</v>
      </c>
      <c r="K598" s="299">
        <f t="shared" si="127"/>
        <v>217043</v>
      </c>
      <c r="R598" s="497">
        <f t="shared" si="117"/>
        <v>217043</v>
      </c>
      <c r="T598" s="302">
        <f t="shared" si="118"/>
        <v>217071</v>
      </c>
    </row>
    <row r="599" spans="2:20">
      <c r="B599" s="604">
        <f t="shared" si="119"/>
        <v>2495</v>
      </c>
      <c r="C599" s="297">
        <f t="shared" si="116"/>
        <v>25</v>
      </c>
      <c r="D599" s="297">
        <f t="shared" si="120"/>
        <v>1</v>
      </c>
      <c r="E599" s="297">
        <f t="shared" si="121"/>
        <v>6</v>
      </c>
      <c r="F599" s="298">
        <f t="shared" si="122"/>
        <v>3</v>
      </c>
      <c r="G599" s="298">
        <f t="shared" si="123"/>
        <v>3</v>
      </c>
      <c r="H599" s="298">
        <f t="shared" si="124"/>
        <v>19</v>
      </c>
      <c r="I599" s="298">
        <f t="shared" si="125"/>
        <v>0</v>
      </c>
      <c r="J599" s="298">
        <f t="shared" si="126"/>
        <v>19</v>
      </c>
      <c r="K599" s="299">
        <f t="shared" si="127"/>
        <v>217421</v>
      </c>
      <c r="R599" s="497">
        <f t="shared" si="117"/>
        <v>217421</v>
      </c>
      <c r="T599" s="302">
        <f t="shared" si="118"/>
        <v>217421</v>
      </c>
    </row>
    <row r="600" spans="2:20">
      <c r="B600" s="604">
        <f t="shared" si="119"/>
        <v>2496</v>
      </c>
      <c r="C600" s="297">
        <f t="shared" si="116"/>
        <v>25</v>
      </c>
      <c r="D600" s="297">
        <f t="shared" si="120"/>
        <v>1</v>
      </c>
      <c r="E600" s="297">
        <f t="shared" si="121"/>
        <v>7</v>
      </c>
      <c r="F600" s="298">
        <f t="shared" si="122"/>
        <v>0</v>
      </c>
      <c r="G600" s="298">
        <f t="shared" si="123"/>
        <v>4</v>
      </c>
      <c r="H600" s="298">
        <f t="shared" si="124"/>
        <v>8</v>
      </c>
      <c r="I600" s="298">
        <f t="shared" si="125"/>
        <v>2</v>
      </c>
      <c r="J600" s="298">
        <f t="shared" si="126"/>
        <v>10</v>
      </c>
      <c r="K600" s="299">
        <f t="shared" si="127"/>
        <v>217778</v>
      </c>
      <c r="R600" s="497">
        <f t="shared" si="117"/>
        <v>217778</v>
      </c>
      <c r="T600" s="302">
        <f t="shared" si="118"/>
        <v>217778</v>
      </c>
    </row>
    <row r="601" spans="2:20">
      <c r="B601" s="604">
        <f t="shared" si="119"/>
        <v>2497</v>
      </c>
      <c r="C601" s="297">
        <f t="shared" si="116"/>
        <v>25</v>
      </c>
      <c r="D601" s="297">
        <f t="shared" si="120"/>
        <v>1</v>
      </c>
      <c r="E601" s="297">
        <f t="shared" si="121"/>
        <v>8</v>
      </c>
      <c r="F601" s="298">
        <f t="shared" si="122"/>
        <v>1</v>
      </c>
      <c r="G601" s="298">
        <f t="shared" si="123"/>
        <v>5</v>
      </c>
      <c r="H601" s="298">
        <f t="shared" si="124"/>
        <v>27</v>
      </c>
      <c r="I601" s="298">
        <f t="shared" si="125"/>
        <v>3</v>
      </c>
      <c r="J601" s="298">
        <f t="shared" si="126"/>
        <v>30</v>
      </c>
      <c r="K601" s="299">
        <f t="shared" si="127"/>
        <v>218163</v>
      </c>
      <c r="R601" s="497">
        <f t="shared" si="117"/>
        <v>218163</v>
      </c>
      <c r="T601" s="302">
        <f t="shared" si="118"/>
        <v>218163</v>
      </c>
    </row>
    <row r="602" spans="2:20">
      <c r="B602" s="604">
        <f t="shared" si="119"/>
        <v>2498</v>
      </c>
      <c r="C602" s="297">
        <f t="shared" si="116"/>
        <v>25</v>
      </c>
      <c r="D602" s="297">
        <f t="shared" si="120"/>
        <v>1</v>
      </c>
      <c r="E602" s="297">
        <f t="shared" si="121"/>
        <v>9</v>
      </c>
      <c r="F602" s="298">
        <f t="shared" si="122"/>
        <v>2</v>
      </c>
      <c r="G602" s="298">
        <f t="shared" si="123"/>
        <v>6</v>
      </c>
      <c r="H602" s="298">
        <f t="shared" si="124"/>
        <v>16</v>
      </c>
      <c r="I602" s="298">
        <f t="shared" si="125"/>
        <v>6</v>
      </c>
      <c r="J602" s="298">
        <f t="shared" si="126"/>
        <v>22</v>
      </c>
      <c r="K602" s="299">
        <f t="shared" si="127"/>
        <v>218520</v>
      </c>
      <c r="R602" s="497">
        <f t="shared" si="117"/>
        <v>218520</v>
      </c>
      <c r="T602" s="302">
        <f t="shared" si="118"/>
        <v>218513</v>
      </c>
    </row>
    <row r="603" spans="2:20">
      <c r="B603" s="604">
        <f t="shared" si="119"/>
        <v>2499</v>
      </c>
      <c r="C603" s="297">
        <f t="shared" si="116"/>
        <v>25</v>
      </c>
      <c r="D603" s="297">
        <f t="shared" si="120"/>
        <v>1</v>
      </c>
      <c r="E603" s="297">
        <f t="shared" si="121"/>
        <v>10</v>
      </c>
      <c r="F603" s="298">
        <f t="shared" si="122"/>
        <v>3</v>
      </c>
      <c r="G603" s="298">
        <f t="shared" si="123"/>
        <v>0</v>
      </c>
      <c r="H603" s="298">
        <f t="shared" si="124"/>
        <v>5</v>
      </c>
      <c r="I603" s="298">
        <f t="shared" si="125"/>
        <v>2</v>
      </c>
      <c r="J603" s="298">
        <f t="shared" si="126"/>
        <v>7</v>
      </c>
      <c r="K603" s="299">
        <f t="shared" si="127"/>
        <v>218870</v>
      </c>
      <c r="R603" s="497">
        <f t="shared" si="117"/>
        <v>218870</v>
      </c>
      <c r="T603" s="302">
        <f t="shared" si="118"/>
        <v>218870</v>
      </c>
    </row>
    <row r="604" spans="2:20">
      <c r="B604" s="604">
        <f t="shared" si="119"/>
        <v>2500</v>
      </c>
      <c r="C604" s="297">
        <f t="shared" si="116"/>
        <v>26</v>
      </c>
      <c r="D604" s="297">
        <f t="shared" si="120"/>
        <v>2</v>
      </c>
      <c r="E604" s="297">
        <f t="shared" si="121"/>
        <v>11</v>
      </c>
      <c r="F604" s="298">
        <f t="shared" si="122"/>
        <v>0</v>
      </c>
      <c r="G604" s="298">
        <f t="shared" si="123"/>
        <v>1</v>
      </c>
      <c r="H604" s="298">
        <f t="shared" si="124"/>
        <v>25</v>
      </c>
      <c r="I604" s="298">
        <f t="shared" si="125"/>
        <v>2</v>
      </c>
      <c r="J604" s="298">
        <f t="shared" si="126"/>
        <v>27</v>
      </c>
      <c r="K604" s="299">
        <f t="shared" si="127"/>
        <v>219255</v>
      </c>
      <c r="R604" s="497">
        <f t="shared" si="117"/>
        <v>219255</v>
      </c>
      <c r="T604" s="302">
        <f t="shared" si="118"/>
        <v>219255</v>
      </c>
    </row>
    <row r="605" spans="2:20">
      <c r="B605" s="604">
        <f t="shared" si="119"/>
        <v>2501</v>
      </c>
      <c r="C605" s="297">
        <f t="shared" si="116"/>
        <v>26</v>
      </c>
      <c r="D605" s="297">
        <f t="shared" si="120"/>
        <v>2</v>
      </c>
      <c r="E605" s="297">
        <f t="shared" si="121"/>
        <v>12</v>
      </c>
      <c r="F605" s="298">
        <f t="shared" si="122"/>
        <v>1</v>
      </c>
      <c r="G605" s="298">
        <f t="shared" si="123"/>
        <v>2</v>
      </c>
      <c r="H605" s="298">
        <f t="shared" si="124"/>
        <v>14</v>
      </c>
      <c r="I605" s="298">
        <f t="shared" si="125"/>
        <v>5</v>
      </c>
      <c r="J605" s="298">
        <f t="shared" si="126"/>
        <v>19</v>
      </c>
      <c r="K605" s="299">
        <f t="shared" si="127"/>
        <v>219612</v>
      </c>
      <c r="R605" s="497">
        <f t="shared" si="117"/>
        <v>219612</v>
      </c>
      <c r="T605" s="302">
        <f t="shared" si="118"/>
        <v>219605</v>
      </c>
    </row>
    <row r="606" spans="2:20">
      <c r="B606" s="604">
        <f t="shared" si="119"/>
        <v>2502</v>
      </c>
      <c r="C606" s="297">
        <f t="shared" si="116"/>
        <v>26</v>
      </c>
      <c r="D606" s="297">
        <f t="shared" si="120"/>
        <v>2</v>
      </c>
      <c r="E606" s="297">
        <f t="shared" si="121"/>
        <v>13</v>
      </c>
      <c r="F606" s="298">
        <f t="shared" si="122"/>
        <v>2</v>
      </c>
      <c r="G606" s="298">
        <f t="shared" si="123"/>
        <v>3</v>
      </c>
      <c r="H606" s="298">
        <f t="shared" si="124"/>
        <v>3</v>
      </c>
      <c r="I606" s="298">
        <f t="shared" si="125"/>
        <v>1</v>
      </c>
      <c r="J606" s="298">
        <f t="shared" si="126"/>
        <v>4</v>
      </c>
      <c r="K606" s="299">
        <f t="shared" si="127"/>
        <v>219962</v>
      </c>
      <c r="R606" s="497">
        <f t="shared" si="117"/>
        <v>219962</v>
      </c>
      <c r="T606" s="302">
        <f t="shared" si="118"/>
        <v>219962</v>
      </c>
    </row>
    <row r="607" spans="2:20">
      <c r="B607" s="604">
        <f t="shared" si="119"/>
        <v>2503</v>
      </c>
      <c r="C607" s="297">
        <f t="shared" si="116"/>
        <v>26</v>
      </c>
      <c r="D607" s="297">
        <f t="shared" si="120"/>
        <v>2</v>
      </c>
      <c r="E607" s="297">
        <f t="shared" si="121"/>
        <v>14</v>
      </c>
      <c r="F607" s="298">
        <f t="shared" si="122"/>
        <v>3</v>
      </c>
      <c r="G607" s="298">
        <f t="shared" si="123"/>
        <v>4</v>
      </c>
      <c r="H607" s="298">
        <f t="shared" si="124"/>
        <v>22</v>
      </c>
      <c r="I607" s="298">
        <f t="shared" si="125"/>
        <v>2</v>
      </c>
      <c r="J607" s="298">
        <f t="shared" si="126"/>
        <v>24</v>
      </c>
      <c r="K607" s="299">
        <f t="shared" si="127"/>
        <v>220347</v>
      </c>
      <c r="R607" s="497">
        <f t="shared" si="117"/>
        <v>220347</v>
      </c>
      <c r="T607" s="302">
        <f t="shared" si="118"/>
        <v>220347</v>
      </c>
    </row>
    <row r="608" spans="2:20">
      <c r="B608" s="604">
        <f t="shared" si="119"/>
        <v>2504</v>
      </c>
      <c r="C608" s="297">
        <f t="shared" si="116"/>
        <v>26</v>
      </c>
      <c r="D608" s="297">
        <f t="shared" si="120"/>
        <v>2</v>
      </c>
      <c r="E608" s="297">
        <f t="shared" si="121"/>
        <v>15</v>
      </c>
      <c r="F608" s="298">
        <f t="shared" si="122"/>
        <v>0</v>
      </c>
      <c r="G608" s="298">
        <f t="shared" si="123"/>
        <v>5</v>
      </c>
      <c r="H608" s="298">
        <f t="shared" si="124"/>
        <v>11</v>
      </c>
      <c r="I608" s="298">
        <f t="shared" si="125"/>
        <v>4</v>
      </c>
      <c r="J608" s="298">
        <f t="shared" si="126"/>
        <v>15</v>
      </c>
      <c r="K608" s="299">
        <f t="shared" si="127"/>
        <v>220704</v>
      </c>
      <c r="R608" s="497">
        <f t="shared" si="117"/>
        <v>220704</v>
      </c>
      <c r="T608" s="302">
        <f t="shared" si="118"/>
        <v>220704</v>
      </c>
    </row>
    <row r="609" spans="2:20">
      <c r="B609" s="604">
        <f t="shared" si="119"/>
        <v>2505</v>
      </c>
      <c r="C609" s="297">
        <f t="shared" si="116"/>
        <v>26</v>
      </c>
      <c r="D609" s="297">
        <f t="shared" si="120"/>
        <v>2</v>
      </c>
      <c r="E609" s="297">
        <f t="shared" si="121"/>
        <v>16</v>
      </c>
      <c r="F609" s="298">
        <f t="shared" si="122"/>
        <v>1</v>
      </c>
      <c r="G609" s="298">
        <f t="shared" si="123"/>
        <v>6</v>
      </c>
      <c r="H609" s="298">
        <f t="shared" si="124"/>
        <v>0</v>
      </c>
      <c r="I609" s="298">
        <f t="shared" si="125"/>
        <v>0</v>
      </c>
      <c r="J609" s="298">
        <f t="shared" si="126"/>
        <v>0</v>
      </c>
      <c r="K609" s="299">
        <f t="shared" si="127"/>
        <v>221054</v>
      </c>
      <c r="R609" s="497">
        <f t="shared" si="117"/>
        <v>221054</v>
      </c>
      <c r="T609" s="302">
        <f t="shared" si="118"/>
        <v>221082</v>
      </c>
    </row>
    <row r="610" spans="2:20">
      <c r="B610" s="604">
        <f t="shared" si="119"/>
        <v>2506</v>
      </c>
      <c r="C610" s="297">
        <f t="shared" si="116"/>
        <v>26</v>
      </c>
      <c r="D610" s="297">
        <f t="shared" si="120"/>
        <v>2</v>
      </c>
      <c r="E610" s="297">
        <f t="shared" si="121"/>
        <v>17</v>
      </c>
      <c r="F610" s="298">
        <f t="shared" si="122"/>
        <v>2</v>
      </c>
      <c r="G610" s="298">
        <f t="shared" si="123"/>
        <v>0</v>
      </c>
      <c r="H610" s="298">
        <f t="shared" si="124"/>
        <v>19</v>
      </c>
      <c r="I610" s="298">
        <f t="shared" si="125"/>
        <v>1</v>
      </c>
      <c r="J610" s="298">
        <f t="shared" si="126"/>
        <v>20</v>
      </c>
      <c r="K610" s="299">
        <f t="shared" si="127"/>
        <v>221439</v>
      </c>
      <c r="R610" s="497">
        <f t="shared" si="117"/>
        <v>221439</v>
      </c>
      <c r="T610" s="302">
        <f t="shared" si="118"/>
        <v>221439</v>
      </c>
    </row>
    <row r="611" spans="2:20">
      <c r="B611" s="604">
        <f t="shared" si="119"/>
        <v>2507</v>
      </c>
      <c r="C611" s="297">
        <f t="shared" si="116"/>
        <v>26</v>
      </c>
      <c r="D611" s="297">
        <f t="shared" si="120"/>
        <v>2</v>
      </c>
      <c r="E611" s="297">
        <f t="shared" si="121"/>
        <v>18</v>
      </c>
      <c r="F611" s="298">
        <f t="shared" si="122"/>
        <v>3</v>
      </c>
      <c r="G611" s="298">
        <f t="shared" si="123"/>
        <v>1</v>
      </c>
      <c r="H611" s="298">
        <f t="shared" si="124"/>
        <v>8</v>
      </c>
      <c r="I611" s="298">
        <f t="shared" si="125"/>
        <v>4</v>
      </c>
      <c r="J611" s="298">
        <f t="shared" si="126"/>
        <v>12</v>
      </c>
      <c r="K611" s="299">
        <f t="shared" si="127"/>
        <v>221796</v>
      </c>
      <c r="R611" s="497">
        <f t="shared" si="117"/>
        <v>221796</v>
      </c>
      <c r="T611" s="302">
        <f t="shared" si="118"/>
        <v>221796</v>
      </c>
    </row>
    <row r="612" spans="2:20">
      <c r="B612" s="604">
        <f t="shared" si="119"/>
        <v>2508</v>
      </c>
      <c r="C612" s="297">
        <f t="shared" si="116"/>
        <v>26</v>
      </c>
      <c r="D612" s="297">
        <f t="shared" si="120"/>
        <v>2</v>
      </c>
      <c r="E612" s="297">
        <f t="shared" si="121"/>
        <v>0</v>
      </c>
      <c r="F612" s="298">
        <f t="shared" si="122"/>
        <v>0</v>
      </c>
      <c r="G612" s="298">
        <f t="shared" si="123"/>
        <v>2</v>
      </c>
      <c r="H612" s="298">
        <f t="shared" si="124"/>
        <v>26</v>
      </c>
      <c r="I612" s="298">
        <f t="shared" si="125"/>
        <v>5</v>
      </c>
      <c r="J612" s="298">
        <f t="shared" si="126"/>
        <v>31</v>
      </c>
      <c r="K612" s="299">
        <f t="shared" si="127"/>
        <v>222181</v>
      </c>
      <c r="R612" s="497">
        <f t="shared" si="117"/>
        <v>222181</v>
      </c>
      <c r="T612" s="302">
        <f t="shared" si="118"/>
        <v>222174</v>
      </c>
    </row>
    <row r="613" spans="2:20">
      <c r="B613" s="604">
        <f t="shared" si="119"/>
        <v>2509</v>
      </c>
      <c r="C613" s="297">
        <f t="shared" si="116"/>
        <v>26</v>
      </c>
      <c r="D613" s="297">
        <f t="shared" si="120"/>
        <v>2</v>
      </c>
      <c r="E613" s="297">
        <f t="shared" si="121"/>
        <v>1</v>
      </c>
      <c r="F613" s="298">
        <f t="shared" si="122"/>
        <v>1</v>
      </c>
      <c r="G613" s="298">
        <f t="shared" si="123"/>
        <v>3</v>
      </c>
      <c r="H613" s="298">
        <f t="shared" si="124"/>
        <v>15</v>
      </c>
      <c r="I613" s="298">
        <f t="shared" si="125"/>
        <v>1</v>
      </c>
      <c r="J613" s="298">
        <f t="shared" si="126"/>
        <v>16</v>
      </c>
      <c r="K613" s="299">
        <f t="shared" si="127"/>
        <v>222531</v>
      </c>
      <c r="R613" s="497">
        <f t="shared" si="117"/>
        <v>222531</v>
      </c>
      <c r="T613" s="302">
        <f t="shared" si="118"/>
        <v>222531</v>
      </c>
    </row>
    <row r="614" spans="2:20">
      <c r="B614" s="604">
        <f t="shared" si="119"/>
        <v>2510</v>
      </c>
      <c r="C614" s="297">
        <f t="shared" si="116"/>
        <v>26</v>
      </c>
      <c r="D614" s="297">
        <f t="shared" si="120"/>
        <v>2</v>
      </c>
      <c r="E614" s="297">
        <f t="shared" si="121"/>
        <v>2</v>
      </c>
      <c r="F614" s="298">
        <f t="shared" si="122"/>
        <v>2</v>
      </c>
      <c r="G614" s="298">
        <f t="shared" si="123"/>
        <v>4</v>
      </c>
      <c r="H614" s="298">
        <f t="shared" si="124"/>
        <v>4</v>
      </c>
      <c r="I614" s="298">
        <f t="shared" si="125"/>
        <v>4</v>
      </c>
      <c r="J614" s="298">
        <f t="shared" si="126"/>
        <v>8</v>
      </c>
      <c r="K614" s="299">
        <f t="shared" si="127"/>
        <v>222888</v>
      </c>
      <c r="R614" s="497">
        <f t="shared" si="117"/>
        <v>222888</v>
      </c>
      <c r="T614" s="302">
        <f t="shared" si="118"/>
        <v>222888</v>
      </c>
    </row>
    <row r="615" spans="2:20">
      <c r="B615" s="604">
        <f t="shared" si="119"/>
        <v>2511</v>
      </c>
      <c r="C615" s="297">
        <f t="shared" si="116"/>
        <v>26</v>
      </c>
      <c r="D615" s="297">
        <f t="shared" si="120"/>
        <v>2</v>
      </c>
      <c r="E615" s="297">
        <f t="shared" si="121"/>
        <v>3</v>
      </c>
      <c r="F615" s="298">
        <f t="shared" si="122"/>
        <v>3</v>
      </c>
      <c r="G615" s="298">
        <f t="shared" si="123"/>
        <v>5</v>
      </c>
      <c r="H615" s="298">
        <f t="shared" si="124"/>
        <v>23</v>
      </c>
      <c r="I615" s="298">
        <f t="shared" si="125"/>
        <v>5</v>
      </c>
      <c r="J615" s="298">
        <f t="shared" si="126"/>
        <v>28</v>
      </c>
      <c r="K615" s="299">
        <f t="shared" si="127"/>
        <v>223273</v>
      </c>
      <c r="R615" s="497">
        <f t="shared" si="117"/>
        <v>223273</v>
      </c>
      <c r="T615" s="302">
        <f t="shared" si="118"/>
        <v>223266</v>
      </c>
    </row>
    <row r="616" spans="2:20">
      <c r="B616" s="604">
        <f t="shared" si="119"/>
        <v>2512</v>
      </c>
      <c r="C616" s="297">
        <f t="shared" si="116"/>
        <v>26</v>
      </c>
      <c r="D616" s="297">
        <f t="shared" si="120"/>
        <v>2</v>
      </c>
      <c r="E616" s="297">
        <f t="shared" si="121"/>
        <v>4</v>
      </c>
      <c r="F616" s="298">
        <f t="shared" si="122"/>
        <v>0</v>
      </c>
      <c r="G616" s="298">
        <f t="shared" si="123"/>
        <v>6</v>
      </c>
      <c r="H616" s="298">
        <f t="shared" si="124"/>
        <v>12</v>
      </c>
      <c r="I616" s="298">
        <f t="shared" si="125"/>
        <v>0</v>
      </c>
      <c r="J616" s="298">
        <f t="shared" si="126"/>
        <v>12</v>
      </c>
      <c r="K616" s="299">
        <f t="shared" si="127"/>
        <v>223623</v>
      </c>
      <c r="R616" s="497">
        <f t="shared" si="117"/>
        <v>223623</v>
      </c>
      <c r="T616" s="302">
        <f t="shared" si="118"/>
        <v>223623</v>
      </c>
    </row>
    <row r="617" spans="2:20">
      <c r="B617" s="604">
        <f t="shared" si="119"/>
        <v>2513</v>
      </c>
      <c r="C617" s="297">
        <f t="shared" si="116"/>
        <v>26</v>
      </c>
      <c r="D617" s="297">
        <f t="shared" si="120"/>
        <v>2</v>
      </c>
      <c r="E617" s="297">
        <f t="shared" si="121"/>
        <v>5</v>
      </c>
      <c r="F617" s="298">
        <f t="shared" si="122"/>
        <v>1</v>
      </c>
      <c r="G617" s="298">
        <f t="shared" si="123"/>
        <v>0</v>
      </c>
      <c r="H617" s="298">
        <f t="shared" si="124"/>
        <v>1</v>
      </c>
      <c r="I617" s="298">
        <f t="shared" si="125"/>
        <v>3</v>
      </c>
      <c r="J617" s="298">
        <f t="shared" si="126"/>
        <v>4</v>
      </c>
      <c r="K617" s="299">
        <f t="shared" si="127"/>
        <v>223980</v>
      </c>
      <c r="R617" s="497">
        <f t="shared" si="117"/>
        <v>223980</v>
      </c>
      <c r="T617" s="302">
        <f t="shared" si="118"/>
        <v>224008</v>
      </c>
    </row>
    <row r="618" spans="2:20">
      <c r="B618" s="604">
        <f t="shared" si="119"/>
        <v>2514</v>
      </c>
      <c r="C618" s="297">
        <f t="shared" si="116"/>
        <v>26</v>
      </c>
      <c r="D618" s="297">
        <f t="shared" si="120"/>
        <v>2</v>
      </c>
      <c r="E618" s="297">
        <f t="shared" si="121"/>
        <v>6</v>
      </c>
      <c r="F618" s="298">
        <f t="shared" si="122"/>
        <v>2</v>
      </c>
      <c r="G618" s="298">
        <f t="shared" si="123"/>
        <v>1</v>
      </c>
      <c r="H618" s="298">
        <f t="shared" si="124"/>
        <v>20</v>
      </c>
      <c r="I618" s="298">
        <f t="shared" si="125"/>
        <v>4</v>
      </c>
      <c r="J618" s="298">
        <f t="shared" si="126"/>
        <v>24</v>
      </c>
      <c r="K618" s="299">
        <f t="shared" si="127"/>
        <v>224365</v>
      </c>
      <c r="R618" s="497">
        <f t="shared" si="117"/>
        <v>224365</v>
      </c>
      <c r="T618" s="302">
        <f t="shared" si="118"/>
        <v>224365</v>
      </c>
    </row>
    <row r="619" spans="2:20">
      <c r="B619" s="604">
        <f t="shared" si="119"/>
        <v>2515</v>
      </c>
      <c r="C619" s="297">
        <f t="shared" si="116"/>
        <v>26</v>
      </c>
      <c r="D619" s="297">
        <f t="shared" si="120"/>
        <v>2</v>
      </c>
      <c r="E619" s="297">
        <f t="shared" si="121"/>
        <v>7</v>
      </c>
      <c r="F619" s="298">
        <f t="shared" si="122"/>
        <v>3</v>
      </c>
      <c r="G619" s="298">
        <f t="shared" si="123"/>
        <v>2</v>
      </c>
      <c r="H619" s="298">
        <f t="shared" si="124"/>
        <v>9</v>
      </c>
      <c r="I619" s="298">
        <f t="shared" si="125"/>
        <v>0</v>
      </c>
      <c r="J619" s="298">
        <f t="shared" si="126"/>
        <v>9</v>
      </c>
      <c r="K619" s="299">
        <f t="shared" si="127"/>
        <v>224715</v>
      </c>
      <c r="R619" s="497">
        <f t="shared" si="117"/>
        <v>224715</v>
      </c>
      <c r="T619" s="302">
        <f t="shared" si="118"/>
        <v>224715</v>
      </c>
    </row>
    <row r="620" spans="2:20">
      <c r="B620" s="604">
        <f t="shared" si="119"/>
        <v>2516</v>
      </c>
      <c r="C620" s="297">
        <f t="shared" si="116"/>
        <v>26</v>
      </c>
      <c r="D620" s="297">
        <f t="shared" si="120"/>
        <v>2</v>
      </c>
      <c r="E620" s="297">
        <f t="shared" si="121"/>
        <v>8</v>
      </c>
      <c r="F620" s="298">
        <f t="shared" si="122"/>
        <v>0</v>
      </c>
      <c r="G620" s="298">
        <f t="shared" si="123"/>
        <v>3</v>
      </c>
      <c r="H620" s="298">
        <f t="shared" si="124"/>
        <v>28</v>
      </c>
      <c r="I620" s="298">
        <f t="shared" si="125"/>
        <v>0</v>
      </c>
      <c r="J620" s="298">
        <f t="shared" si="126"/>
        <v>28</v>
      </c>
      <c r="K620" s="299">
        <f t="shared" si="127"/>
        <v>225100</v>
      </c>
      <c r="R620" s="497">
        <f t="shared" si="117"/>
        <v>225100</v>
      </c>
      <c r="T620" s="302">
        <f t="shared" si="118"/>
        <v>225100</v>
      </c>
    </row>
    <row r="621" spans="2:20">
      <c r="B621" s="604">
        <f t="shared" si="119"/>
        <v>2517</v>
      </c>
      <c r="C621" s="297">
        <f t="shared" si="116"/>
        <v>26</v>
      </c>
      <c r="D621" s="297">
        <f t="shared" si="120"/>
        <v>2</v>
      </c>
      <c r="E621" s="297">
        <f t="shared" si="121"/>
        <v>9</v>
      </c>
      <c r="F621" s="298">
        <f t="shared" si="122"/>
        <v>1</v>
      </c>
      <c r="G621" s="298">
        <f t="shared" si="123"/>
        <v>4</v>
      </c>
      <c r="H621" s="298">
        <f t="shared" si="124"/>
        <v>17</v>
      </c>
      <c r="I621" s="298">
        <f t="shared" si="125"/>
        <v>3</v>
      </c>
      <c r="J621" s="298">
        <f t="shared" si="126"/>
        <v>20</v>
      </c>
      <c r="K621" s="299">
        <f t="shared" si="127"/>
        <v>225457</v>
      </c>
      <c r="R621" s="497">
        <f t="shared" si="117"/>
        <v>225457</v>
      </c>
      <c r="T621" s="302">
        <f t="shared" si="118"/>
        <v>225457</v>
      </c>
    </row>
    <row r="622" spans="2:20">
      <c r="B622" s="604">
        <f t="shared" si="119"/>
        <v>2518</v>
      </c>
      <c r="C622" s="297">
        <f t="shared" si="116"/>
        <v>26</v>
      </c>
      <c r="D622" s="297">
        <f t="shared" si="120"/>
        <v>2</v>
      </c>
      <c r="E622" s="297">
        <f t="shared" si="121"/>
        <v>10</v>
      </c>
      <c r="F622" s="298">
        <f t="shared" si="122"/>
        <v>2</v>
      </c>
      <c r="G622" s="298">
        <f t="shared" si="123"/>
        <v>5</v>
      </c>
      <c r="H622" s="298">
        <f t="shared" si="124"/>
        <v>6</v>
      </c>
      <c r="I622" s="298">
        <f t="shared" si="125"/>
        <v>6</v>
      </c>
      <c r="J622" s="298">
        <f t="shared" si="126"/>
        <v>12</v>
      </c>
      <c r="K622" s="299">
        <f t="shared" si="127"/>
        <v>225814</v>
      </c>
      <c r="R622" s="497">
        <f t="shared" si="117"/>
        <v>225814</v>
      </c>
      <c r="T622" s="302">
        <f t="shared" si="118"/>
        <v>225807</v>
      </c>
    </row>
    <row r="623" spans="2:20">
      <c r="B623" s="604">
        <f t="shared" si="119"/>
        <v>2519</v>
      </c>
      <c r="C623" s="297">
        <f t="shared" si="116"/>
        <v>26</v>
      </c>
      <c r="D623" s="297">
        <f t="shared" si="120"/>
        <v>2</v>
      </c>
      <c r="E623" s="297">
        <f t="shared" si="121"/>
        <v>11</v>
      </c>
      <c r="F623" s="298">
        <f t="shared" si="122"/>
        <v>3</v>
      </c>
      <c r="G623" s="298">
        <f t="shared" si="123"/>
        <v>6</v>
      </c>
      <c r="H623" s="298">
        <f t="shared" si="124"/>
        <v>25</v>
      </c>
      <c r="I623" s="298">
        <f t="shared" si="125"/>
        <v>0</v>
      </c>
      <c r="J623" s="298">
        <f t="shared" si="126"/>
        <v>25</v>
      </c>
      <c r="K623" s="299">
        <f t="shared" si="127"/>
        <v>226192</v>
      </c>
      <c r="R623" s="497">
        <f t="shared" si="117"/>
        <v>226192</v>
      </c>
      <c r="T623" s="302">
        <f t="shared" si="118"/>
        <v>226192</v>
      </c>
    </row>
    <row r="624" spans="2:20">
      <c r="B624" s="604">
        <f t="shared" si="119"/>
        <v>2520</v>
      </c>
      <c r="C624" s="297">
        <f t="shared" si="116"/>
        <v>26</v>
      </c>
      <c r="D624" s="297">
        <f t="shared" si="120"/>
        <v>2</v>
      </c>
      <c r="E624" s="297">
        <f t="shared" si="121"/>
        <v>12</v>
      </c>
      <c r="F624" s="298">
        <f t="shared" si="122"/>
        <v>0</v>
      </c>
      <c r="G624" s="298">
        <f t="shared" si="123"/>
        <v>0</v>
      </c>
      <c r="H624" s="298">
        <f t="shared" si="124"/>
        <v>14</v>
      </c>
      <c r="I624" s="298">
        <f t="shared" si="125"/>
        <v>2</v>
      </c>
      <c r="J624" s="298">
        <f t="shared" si="126"/>
        <v>16</v>
      </c>
      <c r="K624" s="299">
        <f t="shared" si="127"/>
        <v>226549</v>
      </c>
      <c r="R624" s="497">
        <f t="shared" si="117"/>
        <v>226549</v>
      </c>
      <c r="T624" s="302">
        <f t="shared" si="118"/>
        <v>226549</v>
      </c>
    </row>
    <row r="625" spans="2:20">
      <c r="B625" s="604">
        <f t="shared" si="119"/>
        <v>2521</v>
      </c>
      <c r="C625" s="297">
        <f t="shared" si="116"/>
        <v>26</v>
      </c>
      <c r="D625" s="297">
        <f t="shared" si="120"/>
        <v>2</v>
      </c>
      <c r="E625" s="297">
        <f t="shared" si="121"/>
        <v>13</v>
      </c>
      <c r="F625" s="298">
        <f t="shared" si="122"/>
        <v>1</v>
      </c>
      <c r="G625" s="298">
        <f t="shared" si="123"/>
        <v>1</v>
      </c>
      <c r="H625" s="298">
        <f t="shared" si="124"/>
        <v>3</v>
      </c>
      <c r="I625" s="298">
        <f t="shared" si="125"/>
        <v>5</v>
      </c>
      <c r="J625" s="298">
        <f t="shared" si="126"/>
        <v>8</v>
      </c>
      <c r="K625" s="299">
        <f t="shared" si="127"/>
        <v>226906</v>
      </c>
      <c r="R625" s="497">
        <f t="shared" si="117"/>
        <v>226906</v>
      </c>
      <c r="T625" s="302">
        <f t="shared" si="118"/>
        <v>226899</v>
      </c>
    </row>
    <row r="626" spans="2:20">
      <c r="B626" s="604">
        <f t="shared" si="119"/>
        <v>2522</v>
      </c>
      <c r="C626" s="297">
        <f t="shared" si="116"/>
        <v>26</v>
      </c>
      <c r="D626" s="297">
        <f t="shared" si="120"/>
        <v>2</v>
      </c>
      <c r="E626" s="297">
        <f t="shared" si="121"/>
        <v>14</v>
      </c>
      <c r="F626" s="298">
        <f t="shared" si="122"/>
        <v>2</v>
      </c>
      <c r="G626" s="298">
        <f t="shared" si="123"/>
        <v>2</v>
      </c>
      <c r="H626" s="298">
        <f t="shared" si="124"/>
        <v>22</v>
      </c>
      <c r="I626" s="298">
        <f t="shared" si="125"/>
        <v>6</v>
      </c>
      <c r="J626" s="298">
        <f t="shared" si="126"/>
        <v>28</v>
      </c>
      <c r="K626" s="299">
        <f t="shared" si="127"/>
        <v>227291</v>
      </c>
      <c r="R626" s="497">
        <f t="shared" si="117"/>
        <v>227291</v>
      </c>
      <c r="T626" s="302">
        <f t="shared" si="118"/>
        <v>227284</v>
      </c>
    </row>
    <row r="627" spans="2:20">
      <c r="B627" s="604">
        <f t="shared" si="119"/>
        <v>2523</v>
      </c>
      <c r="C627" s="297">
        <f t="shared" si="116"/>
        <v>26</v>
      </c>
      <c r="D627" s="297">
        <f t="shared" si="120"/>
        <v>2</v>
      </c>
      <c r="E627" s="297">
        <f t="shared" si="121"/>
        <v>15</v>
      </c>
      <c r="F627" s="298">
        <f t="shared" si="122"/>
        <v>3</v>
      </c>
      <c r="G627" s="298">
        <f t="shared" si="123"/>
        <v>3</v>
      </c>
      <c r="H627" s="298">
        <f t="shared" si="124"/>
        <v>11</v>
      </c>
      <c r="I627" s="298">
        <f t="shared" si="125"/>
        <v>2</v>
      </c>
      <c r="J627" s="298">
        <f t="shared" si="126"/>
        <v>13</v>
      </c>
      <c r="K627" s="299">
        <f t="shared" si="127"/>
        <v>227641</v>
      </c>
      <c r="R627" s="497">
        <f t="shared" si="117"/>
        <v>227641</v>
      </c>
      <c r="T627" s="302">
        <f t="shared" si="118"/>
        <v>227641</v>
      </c>
    </row>
    <row r="628" spans="2:20">
      <c r="B628" s="604">
        <f t="shared" si="119"/>
        <v>2524</v>
      </c>
      <c r="C628" s="297">
        <f t="shared" si="116"/>
        <v>26</v>
      </c>
      <c r="D628" s="297">
        <f t="shared" si="120"/>
        <v>2</v>
      </c>
      <c r="E628" s="297">
        <f t="shared" si="121"/>
        <v>16</v>
      </c>
      <c r="F628" s="298">
        <f t="shared" si="122"/>
        <v>0</v>
      </c>
      <c r="G628" s="298">
        <f t="shared" si="123"/>
        <v>4</v>
      </c>
      <c r="H628" s="298">
        <f t="shared" si="124"/>
        <v>0</v>
      </c>
      <c r="I628" s="298">
        <f t="shared" si="125"/>
        <v>4</v>
      </c>
      <c r="J628" s="298">
        <f t="shared" si="126"/>
        <v>4</v>
      </c>
      <c r="K628" s="299">
        <f t="shared" si="127"/>
        <v>227998</v>
      </c>
      <c r="R628" s="497">
        <f t="shared" si="117"/>
        <v>227998</v>
      </c>
      <c r="T628" s="302">
        <f t="shared" si="118"/>
        <v>228026</v>
      </c>
    </row>
    <row r="629" spans="2:20">
      <c r="B629" s="604">
        <f t="shared" si="119"/>
        <v>2525</v>
      </c>
      <c r="C629" s="297">
        <f t="shared" si="116"/>
        <v>26</v>
      </c>
      <c r="D629" s="297">
        <f t="shared" si="120"/>
        <v>2</v>
      </c>
      <c r="E629" s="297">
        <f t="shared" si="121"/>
        <v>17</v>
      </c>
      <c r="F629" s="298">
        <f t="shared" si="122"/>
        <v>1</v>
      </c>
      <c r="G629" s="298">
        <f t="shared" si="123"/>
        <v>5</v>
      </c>
      <c r="H629" s="298">
        <f t="shared" si="124"/>
        <v>19</v>
      </c>
      <c r="I629" s="298">
        <f t="shared" si="125"/>
        <v>5</v>
      </c>
      <c r="J629" s="298">
        <f t="shared" si="126"/>
        <v>24</v>
      </c>
      <c r="K629" s="299">
        <f t="shared" si="127"/>
        <v>228383</v>
      </c>
      <c r="R629" s="497">
        <f t="shared" si="117"/>
        <v>228383</v>
      </c>
      <c r="T629" s="302">
        <f t="shared" si="118"/>
        <v>228376</v>
      </c>
    </row>
    <row r="630" spans="2:20">
      <c r="B630" s="604">
        <f t="shared" si="119"/>
        <v>2526</v>
      </c>
      <c r="C630" s="297">
        <f t="shared" si="116"/>
        <v>26</v>
      </c>
      <c r="D630" s="297">
        <f t="shared" si="120"/>
        <v>2</v>
      </c>
      <c r="E630" s="297">
        <f t="shared" si="121"/>
        <v>18</v>
      </c>
      <c r="F630" s="298">
        <f t="shared" si="122"/>
        <v>2</v>
      </c>
      <c r="G630" s="298">
        <f t="shared" si="123"/>
        <v>6</v>
      </c>
      <c r="H630" s="298">
        <f t="shared" si="124"/>
        <v>8</v>
      </c>
      <c r="I630" s="298">
        <f t="shared" si="125"/>
        <v>1</v>
      </c>
      <c r="J630" s="298">
        <f t="shared" si="126"/>
        <v>9</v>
      </c>
      <c r="K630" s="299">
        <f t="shared" si="127"/>
        <v>228733</v>
      </c>
      <c r="R630" s="497">
        <f t="shared" si="117"/>
        <v>228733</v>
      </c>
      <c r="T630" s="302">
        <f t="shared" si="118"/>
        <v>228733</v>
      </c>
    </row>
    <row r="631" spans="2:20">
      <c r="B631" s="604">
        <f t="shared" si="119"/>
        <v>2527</v>
      </c>
      <c r="C631" s="297">
        <f t="shared" si="116"/>
        <v>26</v>
      </c>
      <c r="D631" s="297">
        <f t="shared" si="120"/>
        <v>2</v>
      </c>
      <c r="E631" s="297">
        <f t="shared" si="121"/>
        <v>0</v>
      </c>
      <c r="F631" s="298">
        <f t="shared" si="122"/>
        <v>3</v>
      </c>
      <c r="G631" s="298">
        <f t="shared" si="123"/>
        <v>0</v>
      </c>
      <c r="H631" s="298">
        <f t="shared" si="124"/>
        <v>26</v>
      </c>
      <c r="I631" s="298">
        <f t="shared" si="125"/>
        <v>3</v>
      </c>
      <c r="J631" s="298">
        <f t="shared" si="126"/>
        <v>29</v>
      </c>
      <c r="K631" s="299">
        <f t="shared" si="127"/>
        <v>229118</v>
      </c>
      <c r="R631" s="497">
        <f t="shared" si="117"/>
        <v>229118</v>
      </c>
      <c r="T631" s="302">
        <f t="shared" si="118"/>
        <v>229118</v>
      </c>
    </row>
    <row r="632" spans="2:20">
      <c r="B632" s="604">
        <f t="shared" si="119"/>
        <v>2528</v>
      </c>
      <c r="C632" s="297">
        <f t="shared" si="116"/>
        <v>26</v>
      </c>
      <c r="D632" s="297">
        <f t="shared" si="120"/>
        <v>2</v>
      </c>
      <c r="E632" s="297">
        <f t="shared" si="121"/>
        <v>1</v>
      </c>
      <c r="F632" s="298">
        <f t="shared" si="122"/>
        <v>0</v>
      </c>
      <c r="G632" s="298">
        <f t="shared" si="123"/>
        <v>1</v>
      </c>
      <c r="H632" s="298">
        <f t="shared" si="124"/>
        <v>15</v>
      </c>
      <c r="I632" s="298">
        <f t="shared" si="125"/>
        <v>5</v>
      </c>
      <c r="J632" s="298">
        <f t="shared" si="126"/>
        <v>20</v>
      </c>
      <c r="K632" s="299">
        <f t="shared" si="127"/>
        <v>229475</v>
      </c>
      <c r="R632" s="497">
        <f t="shared" si="117"/>
        <v>229475</v>
      </c>
      <c r="T632" s="302">
        <f t="shared" si="118"/>
        <v>229468</v>
      </c>
    </row>
    <row r="633" spans="2:20">
      <c r="B633" s="604">
        <f t="shared" si="119"/>
        <v>2529</v>
      </c>
      <c r="C633" s="297">
        <f t="shared" si="116"/>
        <v>26</v>
      </c>
      <c r="D633" s="297">
        <f t="shared" si="120"/>
        <v>2</v>
      </c>
      <c r="E633" s="297">
        <f t="shared" si="121"/>
        <v>2</v>
      </c>
      <c r="F633" s="298">
        <f t="shared" si="122"/>
        <v>1</v>
      </c>
      <c r="G633" s="298">
        <f t="shared" si="123"/>
        <v>2</v>
      </c>
      <c r="H633" s="298">
        <f t="shared" si="124"/>
        <v>4</v>
      </c>
      <c r="I633" s="298">
        <f t="shared" si="125"/>
        <v>1</v>
      </c>
      <c r="J633" s="298">
        <f t="shared" si="126"/>
        <v>5</v>
      </c>
      <c r="K633" s="299">
        <f t="shared" si="127"/>
        <v>229825</v>
      </c>
      <c r="R633" s="497">
        <f t="shared" si="117"/>
        <v>229825</v>
      </c>
      <c r="T633" s="302">
        <f t="shared" si="118"/>
        <v>229825</v>
      </c>
    </row>
    <row r="634" spans="2:20">
      <c r="B634" s="604">
        <f t="shared" si="119"/>
        <v>2530</v>
      </c>
      <c r="C634" s="297">
        <f t="shared" si="116"/>
        <v>26</v>
      </c>
      <c r="D634" s="297">
        <f t="shared" si="120"/>
        <v>2</v>
      </c>
      <c r="E634" s="297">
        <f t="shared" si="121"/>
        <v>3</v>
      </c>
      <c r="F634" s="298">
        <f t="shared" si="122"/>
        <v>2</v>
      </c>
      <c r="G634" s="298">
        <f t="shared" si="123"/>
        <v>3</v>
      </c>
      <c r="H634" s="298">
        <f t="shared" si="124"/>
        <v>23</v>
      </c>
      <c r="I634" s="298">
        <f t="shared" si="125"/>
        <v>2</v>
      </c>
      <c r="J634" s="298">
        <f t="shared" si="126"/>
        <v>25</v>
      </c>
      <c r="K634" s="299">
        <f t="shared" si="127"/>
        <v>230210</v>
      </c>
      <c r="R634" s="497">
        <f t="shared" si="117"/>
        <v>230210</v>
      </c>
      <c r="T634" s="302">
        <f t="shared" si="118"/>
        <v>230210</v>
      </c>
    </row>
    <row r="635" spans="2:20">
      <c r="B635" s="604">
        <f t="shared" si="119"/>
        <v>2531</v>
      </c>
      <c r="C635" s="297">
        <f t="shared" si="116"/>
        <v>26</v>
      </c>
      <c r="D635" s="297">
        <f t="shared" si="120"/>
        <v>2</v>
      </c>
      <c r="E635" s="297">
        <f t="shared" si="121"/>
        <v>4</v>
      </c>
      <c r="F635" s="298">
        <f t="shared" si="122"/>
        <v>3</v>
      </c>
      <c r="G635" s="298">
        <f t="shared" si="123"/>
        <v>4</v>
      </c>
      <c r="H635" s="298">
        <f t="shared" si="124"/>
        <v>12</v>
      </c>
      <c r="I635" s="298">
        <f t="shared" si="125"/>
        <v>5</v>
      </c>
      <c r="J635" s="298">
        <f t="shared" si="126"/>
        <v>17</v>
      </c>
      <c r="K635" s="299">
        <f t="shared" si="127"/>
        <v>230567</v>
      </c>
      <c r="R635" s="497">
        <f t="shared" si="117"/>
        <v>230567</v>
      </c>
      <c r="T635" s="302">
        <f t="shared" si="118"/>
        <v>230560</v>
      </c>
    </row>
    <row r="636" spans="2:20">
      <c r="B636" s="604">
        <f t="shared" si="119"/>
        <v>2532</v>
      </c>
      <c r="C636" s="297">
        <f t="shared" si="116"/>
        <v>26</v>
      </c>
      <c r="D636" s="297">
        <f t="shared" si="120"/>
        <v>2</v>
      </c>
      <c r="E636" s="297">
        <f t="shared" si="121"/>
        <v>5</v>
      </c>
      <c r="F636" s="298">
        <f t="shared" si="122"/>
        <v>0</v>
      </c>
      <c r="G636" s="298">
        <f t="shared" si="123"/>
        <v>5</v>
      </c>
      <c r="H636" s="298">
        <f t="shared" si="124"/>
        <v>1</v>
      </c>
      <c r="I636" s="298">
        <f t="shared" si="125"/>
        <v>0</v>
      </c>
      <c r="J636" s="298">
        <f t="shared" si="126"/>
        <v>1</v>
      </c>
      <c r="K636" s="299">
        <f t="shared" si="127"/>
        <v>230917</v>
      </c>
      <c r="R636" s="497">
        <f t="shared" si="117"/>
        <v>230917</v>
      </c>
      <c r="T636" s="302">
        <f t="shared" si="118"/>
        <v>230945</v>
      </c>
    </row>
    <row r="637" spans="2:20">
      <c r="B637" s="604">
        <f t="shared" si="119"/>
        <v>2533</v>
      </c>
      <c r="C637" s="297">
        <f t="shared" si="116"/>
        <v>26</v>
      </c>
      <c r="D637" s="297">
        <f t="shared" si="120"/>
        <v>2</v>
      </c>
      <c r="E637" s="297">
        <f t="shared" si="121"/>
        <v>6</v>
      </c>
      <c r="F637" s="298">
        <f t="shared" si="122"/>
        <v>1</v>
      </c>
      <c r="G637" s="298">
        <f t="shared" si="123"/>
        <v>6</v>
      </c>
      <c r="H637" s="298">
        <f t="shared" si="124"/>
        <v>20</v>
      </c>
      <c r="I637" s="298">
        <f t="shared" si="125"/>
        <v>1</v>
      </c>
      <c r="J637" s="298">
        <f t="shared" si="126"/>
        <v>21</v>
      </c>
      <c r="K637" s="299">
        <f t="shared" si="127"/>
        <v>231302</v>
      </c>
      <c r="R637" s="497">
        <f t="shared" si="117"/>
        <v>231302</v>
      </c>
    </row>
    <row r="638" spans="2:20">
      <c r="B638" s="604">
        <f t="shared" si="119"/>
        <v>2534</v>
      </c>
      <c r="C638" s="297">
        <f t="shared" si="116"/>
        <v>26</v>
      </c>
      <c r="D638" s="297">
        <f t="shared" si="120"/>
        <v>2</v>
      </c>
      <c r="E638" s="297">
        <f t="shared" si="121"/>
        <v>7</v>
      </c>
      <c r="F638" s="298">
        <f t="shared" si="122"/>
        <v>2</v>
      </c>
      <c r="G638" s="298">
        <f t="shared" si="123"/>
        <v>0</v>
      </c>
      <c r="H638" s="298">
        <f t="shared" si="124"/>
        <v>9</v>
      </c>
      <c r="I638" s="298">
        <f t="shared" si="125"/>
        <v>4</v>
      </c>
      <c r="J638" s="298">
        <f t="shared" si="126"/>
        <v>13</v>
      </c>
      <c r="K638" s="299">
        <f t="shared" si="127"/>
        <v>231659</v>
      </c>
      <c r="R638" s="497">
        <f t="shared" si="117"/>
        <v>231659</v>
      </c>
    </row>
    <row r="639" spans="2:20">
      <c r="B639" s="604">
        <f t="shared" si="119"/>
        <v>2535</v>
      </c>
      <c r="C639" s="297">
        <f t="shared" si="116"/>
        <v>26</v>
      </c>
      <c r="D639" s="297">
        <f t="shared" si="120"/>
        <v>2</v>
      </c>
      <c r="E639" s="297">
        <f t="shared" si="121"/>
        <v>8</v>
      </c>
      <c r="F639" s="298">
        <f t="shared" si="122"/>
        <v>3</v>
      </c>
      <c r="G639" s="298">
        <f t="shared" si="123"/>
        <v>1</v>
      </c>
      <c r="H639" s="298">
        <f t="shared" si="124"/>
        <v>28</v>
      </c>
      <c r="I639" s="298">
        <f t="shared" si="125"/>
        <v>5</v>
      </c>
      <c r="J639" s="298">
        <f t="shared" si="126"/>
        <v>33</v>
      </c>
      <c r="K639" s="299">
        <f t="shared" si="127"/>
        <v>232044</v>
      </c>
      <c r="R639" s="497">
        <f t="shared" si="117"/>
        <v>232044</v>
      </c>
    </row>
    <row r="640" spans="2:20">
      <c r="B640" s="604">
        <f t="shared" si="119"/>
        <v>2536</v>
      </c>
      <c r="C640" s="297">
        <f t="shared" si="116"/>
        <v>26</v>
      </c>
      <c r="D640" s="297">
        <f t="shared" si="120"/>
        <v>2</v>
      </c>
      <c r="E640" s="297">
        <f t="shared" si="121"/>
        <v>9</v>
      </c>
      <c r="F640" s="298">
        <f t="shared" si="122"/>
        <v>0</v>
      </c>
      <c r="G640" s="298">
        <f t="shared" si="123"/>
        <v>2</v>
      </c>
      <c r="H640" s="298">
        <f t="shared" si="124"/>
        <v>17</v>
      </c>
      <c r="I640" s="298">
        <f t="shared" si="125"/>
        <v>0</v>
      </c>
      <c r="J640" s="298">
        <f t="shared" si="126"/>
        <v>17</v>
      </c>
      <c r="K640" s="299">
        <f t="shared" si="127"/>
        <v>232394</v>
      </c>
      <c r="R640" s="497">
        <f t="shared" si="117"/>
        <v>232394</v>
      </c>
    </row>
    <row r="641" spans="2:18">
      <c r="B641" s="604">
        <f t="shared" si="119"/>
        <v>2537</v>
      </c>
      <c r="C641" s="297">
        <f t="shared" si="116"/>
        <v>26</v>
      </c>
      <c r="D641" s="297">
        <f t="shared" si="120"/>
        <v>2</v>
      </c>
      <c r="E641" s="297">
        <f t="shared" si="121"/>
        <v>10</v>
      </c>
      <c r="F641" s="298">
        <f t="shared" si="122"/>
        <v>1</v>
      </c>
      <c r="G641" s="298">
        <f t="shared" si="123"/>
        <v>3</v>
      </c>
      <c r="H641" s="298">
        <f t="shared" si="124"/>
        <v>6</v>
      </c>
      <c r="I641" s="298">
        <f t="shared" si="125"/>
        <v>3</v>
      </c>
      <c r="J641" s="298">
        <f t="shared" si="126"/>
        <v>9</v>
      </c>
      <c r="K641" s="299">
        <f t="shared" si="127"/>
        <v>232751</v>
      </c>
      <c r="R641" s="497">
        <f t="shared" si="117"/>
        <v>232751</v>
      </c>
    </row>
    <row r="642" spans="2:18">
      <c r="B642" s="604">
        <f t="shared" si="119"/>
        <v>2538</v>
      </c>
      <c r="C642" s="297">
        <f t="shared" si="116"/>
        <v>26</v>
      </c>
      <c r="D642" s="297">
        <f t="shared" si="120"/>
        <v>2</v>
      </c>
      <c r="E642" s="297">
        <f t="shared" si="121"/>
        <v>11</v>
      </c>
      <c r="F642" s="298">
        <f t="shared" si="122"/>
        <v>2</v>
      </c>
      <c r="G642" s="298">
        <f t="shared" si="123"/>
        <v>4</v>
      </c>
      <c r="H642" s="298">
        <f t="shared" si="124"/>
        <v>25</v>
      </c>
      <c r="I642" s="298">
        <f t="shared" si="125"/>
        <v>4</v>
      </c>
      <c r="J642" s="298">
        <f t="shared" si="126"/>
        <v>29</v>
      </c>
      <c r="K642" s="299">
        <f t="shared" si="127"/>
        <v>233136</v>
      </c>
      <c r="R642" s="497">
        <f t="shared" si="117"/>
        <v>233136</v>
      </c>
    </row>
    <row r="643" spans="2:18">
      <c r="B643" s="604">
        <f t="shared" si="119"/>
        <v>2539</v>
      </c>
      <c r="C643" s="297">
        <f t="shared" si="116"/>
        <v>26</v>
      </c>
      <c r="D643" s="297">
        <f t="shared" si="120"/>
        <v>2</v>
      </c>
      <c r="E643" s="297">
        <f t="shared" si="121"/>
        <v>12</v>
      </c>
      <c r="F643" s="298">
        <f t="shared" si="122"/>
        <v>3</v>
      </c>
      <c r="G643" s="298">
        <f t="shared" si="123"/>
        <v>5</v>
      </c>
      <c r="H643" s="298">
        <f t="shared" si="124"/>
        <v>14</v>
      </c>
      <c r="I643" s="298">
        <f t="shared" si="125"/>
        <v>0</v>
      </c>
      <c r="J643" s="298">
        <f t="shared" si="126"/>
        <v>14</v>
      </c>
      <c r="K643" s="299">
        <f t="shared" si="127"/>
        <v>233486</v>
      </c>
      <c r="R643" s="497">
        <f t="shared" si="117"/>
        <v>233486</v>
      </c>
    </row>
    <row r="644" spans="2:18">
      <c r="B644" s="604">
        <f t="shared" si="119"/>
        <v>2540</v>
      </c>
      <c r="C644" s="297">
        <f t="shared" si="116"/>
        <v>26</v>
      </c>
      <c r="D644" s="297">
        <f t="shared" si="120"/>
        <v>2</v>
      </c>
      <c r="E644" s="297">
        <f t="shared" si="121"/>
        <v>13</v>
      </c>
      <c r="F644" s="298">
        <f t="shared" si="122"/>
        <v>0</v>
      </c>
      <c r="G644" s="298">
        <f t="shared" si="123"/>
        <v>6</v>
      </c>
      <c r="H644" s="298">
        <f t="shared" si="124"/>
        <v>3</v>
      </c>
      <c r="I644" s="298">
        <f t="shared" si="125"/>
        <v>2</v>
      </c>
      <c r="J644" s="298">
        <f t="shared" si="126"/>
        <v>5</v>
      </c>
      <c r="K644" s="299">
        <f t="shared" si="127"/>
        <v>233843</v>
      </c>
      <c r="R644" s="497">
        <f t="shared" si="117"/>
        <v>233843</v>
      </c>
    </row>
    <row r="645" spans="2:18">
      <c r="B645" s="604">
        <f t="shared" si="119"/>
        <v>2541</v>
      </c>
      <c r="C645" s="297">
        <f t="shared" ref="C645:C708" si="128">VLOOKUP(B645,$M$4:$P$86,3,TRUE)</f>
        <v>26</v>
      </c>
      <c r="D645" s="297">
        <f t="shared" si="120"/>
        <v>2</v>
      </c>
      <c r="E645" s="297">
        <f t="shared" si="121"/>
        <v>14</v>
      </c>
      <c r="F645" s="298">
        <f t="shared" si="122"/>
        <v>1</v>
      </c>
      <c r="G645" s="298">
        <f t="shared" si="123"/>
        <v>0</v>
      </c>
      <c r="H645" s="298">
        <f t="shared" si="124"/>
        <v>22</v>
      </c>
      <c r="I645" s="298">
        <f t="shared" si="125"/>
        <v>3</v>
      </c>
      <c r="J645" s="298">
        <f t="shared" si="126"/>
        <v>25</v>
      </c>
      <c r="K645" s="299">
        <f t="shared" si="127"/>
        <v>234228</v>
      </c>
      <c r="R645" s="497">
        <f t="shared" ref="R645:R708" si="129">IF(MOD(19*MOD(B645,19)+C645,30)+MOD(2*MOD(B645,4)+4*MOD(B645,7)+6*MOD(19*MOD(B645,19)+C645,30)+D645,7)-9&lt;=0,DATE(B645,3,22+MOD(19*MOD(B645,19)+C645,30)+MOD(2*MOD(B645,4)+4*MOD(B645,7)+6*MOD(19*MOD(B645,19)+C645,30)+D645,7)),DATE(B645,4,MOD(19*MOD(B645,19)+C645,30)+MOD(2*MOD(B645,4)+4*MOD(B645,7)+6*MOD(19*MOD(B645,19)+C645,30)+D645,7)-9))</f>
        <v>234228</v>
      </c>
    </row>
    <row r="646" spans="2:18">
      <c r="B646" s="604">
        <f t="shared" ref="B646:B709" si="130">B645+1</f>
        <v>2542</v>
      </c>
      <c r="C646" s="297">
        <f t="shared" si="128"/>
        <v>26</v>
      </c>
      <c r="D646" s="297">
        <f t="shared" si="120"/>
        <v>2</v>
      </c>
      <c r="E646" s="297">
        <f t="shared" si="121"/>
        <v>15</v>
      </c>
      <c r="F646" s="298">
        <f t="shared" si="122"/>
        <v>2</v>
      </c>
      <c r="G646" s="298">
        <f t="shared" si="123"/>
        <v>1</v>
      </c>
      <c r="H646" s="298">
        <f t="shared" si="124"/>
        <v>11</v>
      </c>
      <c r="I646" s="298">
        <f t="shared" si="125"/>
        <v>6</v>
      </c>
      <c r="J646" s="298">
        <f t="shared" si="126"/>
        <v>17</v>
      </c>
      <c r="K646" s="299">
        <f t="shared" si="127"/>
        <v>234585</v>
      </c>
      <c r="R646" s="497">
        <f t="shared" si="129"/>
        <v>234585</v>
      </c>
    </row>
    <row r="647" spans="2:18">
      <c r="B647" s="604">
        <f t="shared" si="130"/>
        <v>2543</v>
      </c>
      <c r="C647" s="297">
        <f t="shared" si="128"/>
        <v>26</v>
      </c>
      <c r="D647" s="297">
        <f t="shared" si="120"/>
        <v>2</v>
      </c>
      <c r="E647" s="297">
        <f t="shared" si="121"/>
        <v>16</v>
      </c>
      <c r="F647" s="298">
        <f t="shared" si="122"/>
        <v>3</v>
      </c>
      <c r="G647" s="298">
        <f t="shared" si="123"/>
        <v>2</v>
      </c>
      <c r="H647" s="298">
        <f t="shared" si="124"/>
        <v>0</v>
      </c>
      <c r="I647" s="298">
        <f t="shared" si="125"/>
        <v>2</v>
      </c>
      <c r="J647" s="298">
        <f t="shared" si="126"/>
        <v>2</v>
      </c>
      <c r="K647" s="299">
        <f t="shared" si="127"/>
        <v>234935</v>
      </c>
      <c r="R647" s="497">
        <f t="shared" si="129"/>
        <v>234935</v>
      </c>
    </row>
    <row r="648" spans="2:18">
      <c r="B648" s="604">
        <f t="shared" si="130"/>
        <v>2544</v>
      </c>
      <c r="C648" s="297">
        <f t="shared" si="128"/>
        <v>26</v>
      </c>
      <c r="D648" s="297">
        <f t="shared" si="120"/>
        <v>2</v>
      </c>
      <c r="E648" s="297">
        <f t="shared" si="121"/>
        <v>17</v>
      </c>
      <c r="F648" s="298">
        <f t="shared" si="122"/>
        <v>0</v>
      </c>
      <c r="G648" s="298">
        <f t="shared" si="123"/>
        <v>3</v>
      </c>
      <c r="H648" s="298">
        <f t="shared" si="124"/>
        <v>19</v>
      </c>
      <c r="I648" s="298">
        <f t="shared" si="125"/>
        <v>2</v>
      </c>
      <c r="J648" s="298">
        <f t="shared" si="126"/>
        <v>21</v>
      </c>
      <c r="K648" s="299">
        <f t="shared" si="127"/>
        <v>235320</v>
      </c>
      <c r="R648" s="497">
        <f t="shared" si="129"/>
        <v>235320</v>
      </c>
    </row>
    <row r="649" spans="2:18">
      <c r="B649" s="604">
        <f t="shared" si="130"/>
        <v>2545</v>
      </c>
      <c r="C649" s="297">
        <f t="shared" si="128"/>
        <v>26</v>
      </c>
      <c r="D649" s="297">
        <f t="shared" si="120"/>
        <v>2</v>
      </c>
      <c r="E649" s="297">
        <f t="shared" si="121"/>
        <v>18</v>
      </c>
      <c r="F649" s="298">
        <f t="shared" si="122"/>
        <v>1</v>
      </c>
      <c r="G649" s="298">
        <f t="shared" si="123"/>
        <v>4</v>
      </c>
      <c r="H649" s="298">
        <f t="shared" si="124"/>
        <v>8</v>
      </c>
      <c r="I649" s="298">
        <f t="shared" si="125"/>
        <v>5</v>
      </c>
      <c r="J649" s="298">
        <f t="shared" si="126"/>
        <v>13</v>
      </c>
      <c r="K649" s="299">
        <f t="shared" si="127"/>
        <v>235677</v>
      </c>
      <c r="R649" s="497">
        <f t="shared" si="129"/>
        <v>235677</v>
      </c>
    </row>
    <row r="650" spans="2:18">
      <c r="B650" s="604">
        <f t="shared" si="130"/>
        <v>2546</v>
      </c>
      <c r="C650" s="297">
        <f t="shared" si="128"/>
        <v>26</v>
      </c>
      <c r="D650" s="297">
        <f t="shared" ref="D650:D713" si="131">VLOOKUP(B650,$M$4:$P$86,4,TRUE)</f>
        <v>2</v>
      </c>
      <c r="E650" s="297">
        <f t="shared" ref="E650:E713" si="132">MOD(B650,19)</f>
        <v>0</v>
      </c>
      <c r="F650" s="298">
        <f t="shared" ref="F650:F713" si="133">MOD(B650,4)</f>
        <v>2</v>
      </c>
      <c r="G650" s="298">
        <f t="shared" ref="G650:G713" si="134">MOD(B650,7)</f>
        <v>5</v>
      </c>
      <c r="H650" s="298">
        <f t="shared" ref="H650:H713" si="135">MOD(19*E650+C650,30)</f>
        <v>26</v>
      </c>
      <c r="I650" s="298">
        <f t="shared" ref="I650:I713" si="136">MOD(2*F650+4*G650+6*H650+D650,7)</f>
        <v>0</v>
      </c>
      <c r="J650" s="298">
        <f t="shared" ref="J650:J713" si="137">H650+I650</f>
        <v>26</v>
      </c>
      <c r="K650" s="299">
        <f t="shared" ref="K650:K713" si="138">IF(J650&lt;10,DATE(B650,3,J650+22),IF(J650-9=26,DATE(B650,4,19),IF(AND(J650-9=25,H650=28,I650=6,E650&gt;10),DATE(B650,4,18),DATE(B650,4,J650-9))))</f>
        <v>236055</v>
      </c>
      <c r="R650" s="497">
        <f t="shared" si="129"/>
        <v>236055</v>
      </c>
    </row>
    <row r="651" spans="2:18">
      <c r="B651" s="604">
        <f t="shared" si="130"/>
        <v>2547</v>
      </c>
      <c r="C651" s="297">
        <f t="shared" si="128"/>
        <v>26</v>
      </c>
      <c r="D651" s="297">
        <f t="shared" si="131"/>
        <v>2</v>
      </c>
      <c r="E651" s="297">
        <f t="shared" si="132"/>
        <v>1</v>
      </c>
      <c r="F651" s="298">
        <f t="shared" si="133"/>
        <v>3</v>
      </c>
      <c r="G651" s="298">
        <f t="shared" si="134"/>
        <v>6</v>
      </c>
      <c r="H651" s="298">
        <f t="shared" si="135"/>
        <v>15</v>
      </c>
      <c r="I651" s="298">
        <f t="shared" si="136"/>
        <v>3</v>
      </c>
      <c r="J651" s="298">
        <f t="shared" si="137"/>
        <v>18</v>
      </c>
      <c r="K651" s="299">
        <f t="shared" si="138"/>
        <v>236412</v>
      </c>
      <c r="R651" s="497">
        <f t="shared" si="129"/>
        <v>236412</v>
      </c>
    </row>
    <row r="652" spans="2:18">
      <c r="B652" s="604">
        <f t="shared" si="130"/>
        <v>2548</v>
      </c>
      <c r="C652" s="297">
        <f t="shared" si="128"/>
        <v>26</v>
      </c>
      <c r="D652" s="297">
        <f t="shared" si="131"/>
        <v>2</v>
      </c>
      <c r="E652" s="297">
        <f t="shared" si="132"/>
        <v>2</v>
      </c>
      <c r="F652" s="298">
        <f t="shared" si="133"/>
        <v>0</v>
      </c>
      <c r="G652" s="298">
        <f t="shared" si="134"/>
        <v>0</v>
      </c>
      <c r="H652" s="298">
        <f t="shared" si="135"/>
        <v>4</v>
      </c>
      <c r="I652" s="298">
        <f t="shared" si="136"/>
        <v>5</v>
      </c>
      <c r="J652" s="298">
        <f t="shared" si="137"/>
        <v>9</v>
      </c>
      <c r="K652" s="299">
        <f t="shared" si="138"/>
        <v>236769</v>
      </c>
      <c r="R652" s="497">
        <f t="shared" si="129"/>
        <v>236769</v>
      </c>
    </row>
    <row r="653" spans="2:18">
      <c r="B653" s="604">
        <f t="shared" si="130"/>
        <v>2549</v>
      </c>
      <c r="C653" s="297">
        <f t="shared" si="128"/>
        <v>26</v>
      </c>
      <c r="D653" s="297">
        <f t="shared" si="131"/>
        <v>2</v>
      </c>
      <c r="E653" s="297">
        <f t="shared" si="132"/>
        <v>3</v>
      </c>
      <c r="F653" s="298">
        <f t="shared" si="133"/>
        <v>1</v>
      </c>
      <c r="G653" s="298">
        <f t="shared" si="134"/>
        <v>1</v>
      </c>
      <c r="H653" s="298">
        <f t="shared" si="135"/>
        <v>23</v>
      </c>
      <c r="I653" s="298">
        <f t="shared" si="136"/>
        <v>6</v>
      </c>
      <c r="J653" s="298">
        <f t="shared" si="137"/>
        <v>29</v>
      </c>
      <c r="K653" s="299">
        <f t="shared" si="138"/>
        <v>237154</v>
      </c>
      <c r="R653" s="497">
        <f t="shared" si="129"/>
        <v>237154</v>
      </c>
    </row>
    <row r="654" spans="2:18">
      <c r="B654" s="604">
        <f t="shared" si="130"/>
        <v>2550</v>
      </c>
      <c r="C654" s="297">
        <f t="shared" si="128"/>
        <v>26</v>
      </c>
      <c r="D654" s="297">
        <f t="shared" si="131"/>
        <v>2</v>
      </c>
      <c r="E654" s="297">
        <f t="shared" si="132"/>
        <v>4</v>
      </c>
      <c r="F654" s="298">
        <f t="shared" si="133"/>
        <v>2</v>
      </c>
      <c r="G654" s="298">
        <f t="shared" si="134"/>
        <v>2</v>
      </c>
      <c r="H654" s="298">
        <f t="shared" si="135"/>
        <v>12</v>
      </c>
      <c r="I654" s="298">
        <f t="shared" si="136"/>
        <v>2</v>
      </c>
      <c r="J654" s="298">
        <f t="shared" si="137"/>
        <v>14</v>
      </c>
      <c r="K654" s="299">
        <f t="shared" si="138"/>
        <v>237504</v>
      </c>
      <c r="R654" s="497">
        <f t="shared" si="129"/>
        <v>237504</v>
      </c>
    </row>
    <row r="655" spans="2:18">
      <c r="B655" s="604">
        <f t="shared" si="130"/>
        <v>2551</v>
      </c>
      <c r="C655" s="297">
        <f t="shared" si="128"/>
        <v>26</v>
      </c>
      <c r="D655" s="297">
        <f t="shared" si="131"/>
        <v>2</v>
      </c>
      <c r="E655" s="297">
        <f t="shared" si="132"/>
        <v>5</v>
      </c>
      <c r="F655" s="298">
        <f t="shared" si="133"/>
        <v>3</v>
      </c>
      <c r="G655" s="298">
        <f t="shared" si="134"/>
        <v>3</v>
      </c>
      <c r="H655" s="298">
        <f t="shared" si="135"/>
        <v>1</v>
      </c>
      <c r="I655" s="298">
        <f t="shared" si="136"/>
        <v>5</v>
      </c>
      <c r="J655" s="298">
        <f t="shared" si="137"/>
        <v>6</v>
      </c>
      <c r="K655" s="299">
        <f t="shared" si="138"/>
        <v>237861</v>
      </c>
      <c r="R655" s="497">
        <f t="shared" si="129"/>
        <v>237861</v>
      </c>
    </row>
    <row r="656" spans="2:18">
      <c r="B656" s="604">
        <f t="shared" si="130"/>
        <v>2552</v>
      </c>
      <c r="C656" s="297">
        <f t="shared" si="128"/>
        <v>26</v>
      </c>
      <c r="D656" s="297">
        <f t="shared" si="131"/>
        <v>2</v>
      </c>
      <c r="E656" s="297">
        <f t="shared" si="132"/>
        <v>6</v>
      </c>
      <c r="F656" s="298">
        <f t="shared" si="133"/>
        <v>0</v>
      </c>
      <c r="G656" s="298">
        <f t="shared" si="134"/>
        <v>4</v>
      </c>
      <c r="H656" s="298">
        <f t="shared" si="135"/>
        <v>20</v>
      </c>
      <c r="I656" s="298">
        <f t="shared" si="136"/>
        <v>5</v>
      </c>
      <c r="J656" s="298">
        <f t="shared" si="137"/>
        <v>25</v>
      </c>
      <c r="K656" s="299">
        <f t="shared" si="138"/>
        <v>238246</v>
      </c>
      <c r="R656" s="497">
        <f t="shared" si="129"/>
        <v>238246</v>
      </c>
    </row>
    <row r="657" spans="2:18">
      <c r="B657" s="604">
        <f t="shared" si="130"/>
        <v>2553</v>
      </c>
      <c r="C657" s="297">
        <f t="shared" si="128"/>
        <v>26</v>
      </c>
      <c r="D657" s="297">
        <f t="shared" si="131"/>
        <v>2</v>
      </c>
      <c r="E657" s="297">
        <f t="shared" si="132"/>
        <v>7</v>
      </c>
      <c r="F657" s="298">
        <f t="shared" si="133"/>
        <v>1</v>
      </c>
      <c r="G657" s="298">
        <f t="shared" si="134"/>
        <v>5</v>
      </c>
      <c r="H657" s="298">
        <f t="shared" si="135"/>
        <v>9</v>
      </c>
      <c r="I657" s="298">
        <f t="shared" si="136"/>
        <v>1</v>
      </c>
      <c r="J657" s="298">
        <f t="shared" si="137"/>
        <v>10</v>
      </c>
      <c r="K657" s="299">
        <f t="shared" si="138"/>
        <v>238596</v>
      </c>
      <c r="R657" s="497">
        <f t="shared" si="129"/>
        <v>238596</v>
      </c>
    </row>
    <row r="658" spans="2:18">
      <c r="B658" s="604">
        <f t="shared" si="130"/>
        <v>2554</v>
      </c>
      <c r="C658" s="297">
        <f t="shared" si="128"/>
        <v>26</v>
      </c>
      <c r="D658" s="297">
        <f t="shared" si="131"/>
        <v>2</v>
      </c>
      <c r="E658" s="297">
        <f t="shared" si="132"/>
        <v>8</v>
      </c>
      <c r="F658" s="298">
        <f t="shared" si="133"/>
        <v>2</v>
      </c>
      <c r="G658" s="298">
        <f t="shared" si="134"/>
        <v>6</v>
      </c>
      <c r="H658" s="298">
        <f t="shared" si="135"/>
        <v>28</v>
      </c>
      <c r="I658" s="298">
        <f t="shared" si="136"/>
        <v>2</v>
      </c>
      <c r="J658" s="298">
        <f t="shared" si="137"/>
        <v>30</v>
      </c>
      <c r="K658" s="299">
        <f t="shared" si="138"/>
        <v>238981</v>
      </c>
      <c r="R658" s="497">
        <f t="shared" si="129"/>
        <v>238981</v>
      </c>
    </row>
    <row r="659" spans="2:18">
      <c r="B659" s="604">
        <f t="shared" si="130"/>
        <v>2555</v>
      </c>
      <c r="C659" s="297">
        <f t="shared" si="128"/>
        <v>26</v>
      </c>
      <c r="D659" s="297">
        <f t="shared" si="131"/>
        <v>2</v>
      </c>
      <c r="E659" s="297">
        <f t="shared" si="132"/>
        <v>9</v>
      </c>
      <c r="F659" s="298">
        <f t="shared" si="133"/>
        <v>3</v>
      </c>
      <c r="G659" s="298">
        <f t="shared" si="134"/>
        <v>0</v>
      </c>
      <c r="H659" s="298">
        <f t="shared" si="135"/>
        <v>17</v>
      </c>
      <c r="I659" s="298">
        <f t="shared" si="136"/>
        <v>5</v>
      </c>
      <c r="J659" s="298">
        <f t="shared" si="137"/>
        <v>22</v>
      </c>
      <c r="K659" s="299">
        <f t="shared" si="138"/>
        <v>239338</v>
      </c>
      <c r="R659" s="497">
        <f t="shared" si="129"/>
        <v>239338</v>
      </c>
    </row>
    <row r="660" spans="2:18">
      <c r="B660" s="604">
        <f t="shared" si="130"/>
        <v>2556</v>
      </c>
      <c r="C660" s="297">
        <f t="shared" si="128"/>
        <v>26</v>
      </c>
      <c r="D660" s="297">
        <f t="shared" si="131"/>
        <v>2</v>
      </c>
      <c r="E660" s="297">
        <f t="shared" si="132"/>
        <v>10</v>
      </c>
      <c r="F660" s="298">
        <f t="shared" si="133"/>
        <v>0</v>
      </c>
      <c r="G660" s="298">
        <f t="shared" si="134"/>
        <v>1</v>
      </c>
      <c r="H660" s="298">
        <f t="shared" si="135"/>
        <v>6</v>
      </c>
      <c r="I660" s="298">
        <f t="shared" si="136"/>
        <v>0</v>
      </c>
      <c r="J660" s="298">
        <f t="shared" si="137"/>
        <v>6</v>
      </c>
      <c r="K660" s="299">
        <f t="shared" si="138"/>
        <v>239688</v>
      </c>
      <c r="R660" s="497">
        <f t="shared" si="129"/>
        <v>239688</v>
      </c>
    </row>
    <row r="661" spans="2:18">
      <c r="B661" s="604">
        <f t="shared" si="130"/>
        <v>2557</v>
      </c>
      <c r="C661" s="297">
        <f t="shared" si="128"/>
        <v>26</v>
      </c>
      <c r="D661" s="297">
        <f t="shared" si="131"/>
        <v>2</v>
      </c>
      <c r="E661" s="297">
        <f t="shared" si="132"/>
        <v>11</v>
      </c>
      <c r="F661" s="298">
        <f t="shared" si="133"/>
        <v>1</v>
      </c>
      <c r="G661" s="298">
        <f t="shared" si="134"/>
        <v>2</v>
      </c>
      <c r="H661" s="298">
        <f t="shared" si="135"/>
        <v>25</v>
      </c>
      <c r="I661" s="298">
        <f t="shared" si="136"/>
        <v>1</v>
      </c>
      <c r="J661" s="298">
        <f t="shared" si="137"/>
        <v>26</v>
      </c>
      <c r="K661" s="299">
        <f t="shared" si="138"/>
        <v>240073</v>
      </c>
      <c r="R661" s="497">
        <f t="shared" si="129"/>
        <v>240073</v>
      </c>
    </row>
    <row r="662" spans="2:18">
      <c r="B662" s="604">
        <f t="shared" si="130"/>
        <v>2558</v>
      </c>
      <c r="C662" s="297">
        <f t="shared" si="128"/>
        <v>26</v>
      </c>
      <c r="D662" s="297">
        <f t="shared" si="131"/>
        <v>2</v>
      </c>
      <c r="E662" s="297">
        <f t="shared" si="132"/>
        <v>12</v>
      </c>
      <c r="F662" s="298">
        <f t="shared" si="133"/>
        <v>2</v>
      </c>
      <c r="G662" s="298">
        <f t="shared" si="134"/>
        <v>3</v>
      </c>
      <c r="H662" s="298">
        <f t="shared" si="135"/>
        <v>14</v>
      </c>
      <c r="I662" s="298">
        <f t="shared" si="136"/>
        <v>4</v>
      </c>
      <c r="J662" s="298">
        <f t="shared" si="137"/>
        <v>18</v>
      </c>
      <c r="K662" s="299">
        <f t="shared" si="138"/>
        <v>240430</v>
      </c>
      <c r="R662" s="497">
        <f t="shared" si="129"/>
        <v>240430</v>
      </c>
    </row>
    <row r="663" spans="2:18">
      <c r="B663" s="604">
        <f t="shared" si="130"/>
        <v>2559</v>
      </c>
      <c r="C663" s="297">
        <f t="shared" si="128"/>
        <v>26</v>
      </c>
      <c r="D663" s="297">
        <f t="shared" si="131"/>
        <v>2</v>
      </c>
      <c r="E663" s="297">
        <f t="shared" si="132"/>
        <v>13</v>
      </c>
      <c r="F663" s="298">
        <f t="shared" si="133"/>
        <v>3</v>
      </c>
      <c r="G663" s="298">
        <f t="shared" si="134"/>
        <v>4</v>
      </c>
      <c r="H663" s="298">
        <f t="shared" si="135"/>
        <v>3</v>
      </c>
      <c r="I663" s="298">
        <f t="shared" si="136"/>
        <v>0</v>
      </c>
      <c r="J663" s="298">
        <f t="shared" si="137"/>
        <v>3</v>
      </c>
      <c r="K663" s="299">
        <f t="shared" si="138"/>
        <v>240780</v>
      </c>
      <c r="R663" s="497">
        <f t="shared" si="129"/>
        <v>240780</v>
      </c>
    </row>
    <row r="664" spans="2:18">
      <c r="B664" s="604">
        <f t="shared" si="130"/>
        <v>2560</v>
      </c>
      <c r="C664" s="297">
        <f t="shared" si="128"/>
        <v>26</v>
      </c>
      <c r="D664" s="297">
        <f t="shared" si="131"/>
        <v>2</v>
      </c>
      <c r="E664" s="297">
        <f t="shared" si="132"/>
        <v>14</v>
      </c>
      <c r="F664" s="298">
        <f t="shared" si="133"/>
        <v>0</v>
      </c>
      <c r="G664" s="298">
        <f t="shared" si="134"/>
        <v>5</v>
      </c>
      <c r="H664" s="298">
        <f t="shared" si="135"/>
        <v>22</v>
      </c>
      <c r="I664" s="298">
        <f t="shared" si="136"/>
        <v>0</v>
      </c>
      <c r="J664" s="298">
        <f t="shared" si="137"/>
        <v>22</v>
      </c>
      <c r="K664" s="299">
        <f t="shared" si="138"/>
        <v>241165</v>
      </c>
      <c r="R664" s="497">
        <f t="shared" si="129"/>
        <v>241165</v>
      </c>
    </row>
    <row r="665" spans="2:18">
      <c r="B665" s="604">
        <f t="shared" si="130"/>
        <v>2561</v>
      </c>
      <c r="C665" s="297">
        <f t="shared" si="128"/>
        <v>26</v>
      </c>
      <c r="D665" s="297">
        <f t="shared" si="131"/>
        <v>2</v>
      </c>
      <c r="E665" s="297">
        <f t="shared" si="132"/>
        <v>15</v>
      </c>
      <c r="F665" s="298">
        <f t="shared" si="133"/>
        <v>1</v>
      </c>
      <c r="G665" s="298">
        <f t="shared" si="134"/>
        <v>6</v>
      </c>
      <c r="H665" s="298">
        <f t="shared" si="135"/>
        <v>11</v>
      </c>
      <c r="I665" s="298">
        <f t="shared" si="136"/>
        <v>3</v>
      </c>
      <c r="J665" s="298">
        <f t="shared" si="137"/>
        <v>14</v>
      </c>
      <c r="K665" s="299">
        <f t="shared" si="138"/>
        <v>241522</v>
      </c>
      <c r="R665" s="497">
        <f t="shared" si="129"/>
        <v>241522</v>
      </c>
    </row>
    <row r="666" spans="2:18">
      <c r="B666" s="604">
        <f t="shared" si="130"/>
        <v>2562</v>
      </c>
      <c r="C666" s="297">
        <f t="shared" si="128"/>
        <v>26</v>
      </c>
      <c r="D666" s="297">
        <f t="shared" si="131"/>
        <v>2</v>
      </c>
      <c r="E666" s="297">
        <f t="shared" si="132"/>
        <v>16</v>
      </c>
      <c r="F666" s="298">
        <f t="shared" si="133"/>
        <v>2</v>
      </c>
      <c r="G666" s="298">
        <f t="shared" si="134"/>
        <v>0</v>
      </c>
      <c r="H666" s="298">
        <f t="shared" si="135"/>
        <v>0</v>
      </c>
      <c r="I666" s="298">
        <f t="shared" si="136"/>
        <v>6</v>
      </c>
      <c r="J666" s="298">
        <f t="shared" si="137"/>
        <v>6</v>
      </c>
      <c r="K666" s="299">
        <f t="shared" si="138"/>
        <v>241879</v>
      </c>
      <c r="R666" s="497">
        <f t="shared" si="129"/>
        <v>241879</v>
      </c>
    </row>
    <row r="667" spans="2:18">
      <c r="B667" s="604">
        <f t="shared" si="130"/>
        <v>2563</v>
      </c>
      <c r="C667" s="297">
        <f t="shared" si="128"/>
        <v>26</v>
      </c>
      <c r="D667" s="297">
        <f t="shared" si="131"/>
        <v>2</v>
      </c>
      <c r="E667" s="297">
        <f t="shared" si="132"/>
        <v>17</v>
      </c>
      <c r="F667" s="298">
        <f t="shared" si="133"/>
        <v>3</v>
      </c>
      <c r="G667" s="298">
        <f t="shared" si="134"/>
        <v>1</v>
      </c>
      <c r="H667" s="298">
        <f t="shared" si="135"/>
        <v>19</v>
      </c>
      <c r="I667" s="298">
        <f t="shared" si="136"/>
        <v>0</v>
      </c>
      <c r="J667" s="298">
        <f t="shared" si="137"/>
        <v>19</v>
      </c>
      <c r="K667" s="299">
        <f t="shared" si="138"/>
        <v>242257</v>
      </c>
      <c r="R667" s="497">
        <f t="shared" si="129"/>
        <v>242257</v>
      </c>
    </row>
    <row r="668" spans="2:18">
      <c r="B668" s="604">
        <f t="shared" si="130"/>
        <v>2564</v>
      </c>
      <c r="C668" s="297">
        <f t="shared" si="128"/>
        <v>26</v>
      </c>
      <c r="D668" s="297">
        <f t="shared" si="131"/>
        <v>2</v>
      </c>
      <c r="E668" s="297">
        <f t="shared" si="132"/>
        <v>18</v>
      </c>
      <c r="F668" s="298">
        <f t="shared" si="133"/>
        <v>0</v>
      </c>
      <c r="G668" s="298">
        <f t="shared" si="134"/>
        <v>2</v>
      </c>
      <c r="H668" s="298">
        <f t="shared" si="135"/>
        <v>8</v>
      </c>
      <c r="I668" s="298">
        <f t="shared" si="136"/>
        <v>2</v>
      </c>
      <c r="J668" s="298">
        <f t="shared" si="137"/>
        <v>10</v>
      </c>
      <c r="K668" s="299">
        <f t="shared" si="138"/>
        <v>242614</v>
      </c>
      <c r="R668" s="497">
        <f t="shared" si="129"/>
        <v>242614</v>
      </c>
    </row>
    <row r="669" spans="2:18">
      <c r="B669" s="604">
        <f t="shared" si="130"/>
        <v>2565</v>
      </c>
      <c r="C669" s="297">
        <f t="shared" si="128"/>
        <v>26</v>
      </c>
      <c r="D669" s="297">
        <f t="shared" si="131"/>
        <v>2</v>
      </c>
      <c r="E669" s="297">
        <f t="shared" si="132"/>
        <v>0</v>
      </c>
      <c r="F669" s="298">
        <f t="shared" si="133"/>
        <v>1</v>
      </c>
      <c r="G669" s="298">
        <f t="shared" si="134"/>
        <v>3</v>
      </c>
      <c r="H669" s="298">
        <f t="shared" si="135"/>
        <v>26</v>
      </c>
      <c r="I669" s="298">
        <f t="shared" si="136"/>
        <v>4</v>
      </c>
      <c r="J669" s="298">
        <f t="shared" si="137"/>
        <v>30</v>
      </c>
      <c r="K669" s="299">
        <f t="shared" si="138"/>
        <v>242999</v>
      </c>
      <c r="R669" s="497">
        <f t="shared" si="129"/>
        <v>242999</v>
      </c>
    </row>
    <row r="670" spans="2:18">
      <c r="B670" s="604">
        <f t="shared" si="130"/>
        <v>2566</v>
      </c>
      <c r="C670" s="297">
        <f t="shared" si="128"/>
        <v>26</v>
      </c>
      <c r="D670" s="297">
        <f t="shared" si="131"/>
        <v>2</v>
      </c>
      <c r="E670" s="297">
        <f t="shared" si="132"/>
        <v>1</v>
      </c>
      <c r="F670" s="298">
        <f t="shared" si="133"/>
        <v>2</v>
      </c>
      <c r="G670" s="298">
        <f t="shared" si="134"/>
        <v>4</v>
      </c>
      <c r="H670" s="298">
        <f t="shared" si="135"/>
        <v>15</v>
      </c>
      <c r="I670" s="298">
        <f t="shared" si="136"/>
        <v>0</v>
      </c>
      <c r="J670" s="298">
        <f t="shared" si="137"/>
        <v>15</v>
      </c>
      <c r="K670" s="299">
        <f t="shared" si="138"/>
        <v>243349</v>
      </c>
      <c r="R670" s="497">
        <f t="shared" si="129"/>
        <v>243349</v>
      </c>
    </row>
    <row r="671" spans="2:18">
      <c r="B671" s="604">
        <f t="shared" si="130"/>
        <v>2567</v>
      </c>
      <c r="C671" s="297">
        <f t="shared" si="128"/>
        <v>26</v>
      </c>
      <c r="D671" s="297">
        <f t="shared" si="131"/>
        <v>2</v>
      </c>
      <c r="E671" s="297">
        <f t="shared" si="132"/>
        <v>2</v>
      </c>
      <c r="F671" s="298">
        <f t="shared" si="133"/>
        <v>3</v>
      </c>
      <c r="G671" s="298">
        <f t="shared" si="134"/>
        <v>5</v>
      </c>
      <c r="H671" s="298">
        <f t="shared" si="135"/>
        <v>4</v>
      </c>
      <c r="I671" s="298">
        <f t="shared" si="136"/>
        <v>3</v>
      </c>
      <c r="J671" s="298">
        <f t="shared" si="137"/>
        <v>7</v>
      </c>
      <c r="K671" s="299">
        <f t="shared" si="138"/>
        <v>243706</v>
      </c>
      <c r="R671" s="497">
        <f t="shared" si="129"/>
        <v>243706</v>
      </c>
    </row>
    <row r="672" spans="2:18">
      <c r="B672" s="604">
        <f t="shared" si="130"/>
        <v>2568</v>
      </c>
      <c r="C672" s="297">
        <f t="shared" si="128"/>
        <v>26</v>
      </c>
      <c r="D672" s="297">
        <f t="shared" si="131"/>
        <v>2</v>
      </c>
      <c r="E672" s="297">
        <f t="shared" si="132"/>
        <v>3</v>
      </c>
      <c r="F672" s="298">
        <f t="shared" si="133"/>
        <v>0</v>
      </c>
      <c r="G672" s="298">
        <f t="shared" si="134"/>
        <v>6</v>
      </c>
      <c r="H672" s="298">
        <f t="shared" si="135"/>
        <v>23</v>
      </c>
      <c r="I672" s="298">
        <f t="shared" si="136"/>
        <v>3</v>
      </c>
      <c r="J672" s="298">
        <f t="shared" si="137"/>
        <v>26</v>
      </c>
      <c r="K672" s="299">
        <f t="shared" si="138"/>
        <v>244091</v>
      </c>
      <c r="R672" s="497">
        <f t="shared" si="129"/>
        <v>244091</v>
      </c>
    </row>
    <row r="673" spans="2:18">
      <c r="B673" s="604">
        <f t="shared" si="130"/>
        <v>2569</v>
      </c>
      <c r="C673" s="297">
        <f t="shared" si="128"/>
        <v>26</v>
      </c>
      <c r="D673" s="297">
        <f t="shared" si="131"/>
        <v>2</v>
      </c>
      <c r="E673" s="297">
        <f t="shared" si="132"/>
        <v>4</v>
      </c>
      <c r="F673" s="298">
        <f t="shared" si="133"/>
        <v>1</v>
      </c>
      <c r="G673" s="298">
        <f t="shared" si="134"/>
        <v>0</v>
      </c>
      <c r="H673" s="298">
        <f t="shared" si="135"/>
        <v>12</v>
      </c>
      <c r="I673" s="298">
        <f t="shared" si="136"/>
        <v>6</v>
      </c>
      <c r="J673" s="298">
        <f t="shared" si="137"/>
        <v>18</v>
      </c>
      <c r="K673" s="299">
        <f t="shared" si="138"/>
        <v>244448</v>
      </c>
      <c r="R673" s="497">
        <f t="shared" si="129"/>
        <v>244448</v>
      </c>
    </row>
    <row r="674" spans="2:18">
      <c r="B674" s="604">
        <f t="shared" si="130"/>
        <v>2570</v>
      </c>
      <c r="C674" s="297">
        <f t="shared" si="128"/>
        <v>26</v>
      </c>
      <c r="D674" s="297">
        <f t="shared" si="131"/>
        <v>2</v>
      </c>
      <c r="E674" s="297">
        <f t="shared" si="132"/>
        <v>5</v>
      </c>
      <c r="F674" s="298">
        <f t="shared" si="133"/>
        <v>2</v>
      </c>
      <c r="G674" s="298">
        <f t="shared" si="134"/>
        <v>1</v>
      </c>
      <c r="H674" s="298">
        <f t="shared" si="135"/>
        <v>1</v>
      </c>
      <c r="I674" s="298">
        <f t="shared" si="136"/>
        <v>2</v>
      </c>
      <c r="J674" s="298">
        <f t="shared" si="137"/>
        <v>3</v>
      </c>
      <c r="K674" s="299">
        <f t="shared" si="138"/>
        <v>244798</v>
      </c>
      <c r="R674" s="497">
        <f t="shared" si="129"/>
        <v>244798</v>
      </c>
    </row>
    <row r="675" spans="2:18">
      <c r="B675" s="604">
        <f t="shared" si="130"/>
        <v>2571</v>
      </c>
      <c r="C675" s="297">
        <f t="shared" si="128"/>
        <v>26</v>
      </c>
      <c r="D675" s="297">
        <f t="shared" si="131"/>
        <v>2</v>
      </c>
      <c r="E675" s="297">
        <f t="shared" si="132"/>
        <v>6</v>
      </c>
      <c r="F675" s="298">
        <f t="shared" si="133"/>
        <v>3</v>
      </c>
      <c r="G675" s="298">
        <f t="shared" si="134"/>
        <v>2</v>
      </c>
      <c r="H675" s="298">
        <f t="shared" si="135"/>
        <v>20</v>
      </c>
      <c r="I675" s="298">
        <f t="shared" si="136"/>
        <v>3</v>
      </c>
      <c r="J675" s="298">
        <f t="shared" si="137"/>
        <v>23</v>
      </c>
      <c r="K675" s="299">
        <f t="shared" si="138"/>
        <v>245183</v>
      </c>
      <c r="R675" s="497">
        <f t="shared" si="129"/>
        <v>245183</v>
      </c>
    </row>
    <row r="676" spans="2:18">
      <c r="B676" s="604">
        <f t="shared" si="130"/>
        <v>2572</v>
      </c>
      <c r="C676" s="297">
        <f t="shared" si="128"/>
        <v>26</v>
      </c>
      <c r="D676" s="297">
        <f t="shared" si="131"/>
        <v>2</v>
      </c>
      <c r="E676" s="297">
        <f t="shared" si="132"/>
        <v>7</v>
      </c>
      <c r="F676" s="298">
        <f t="shared" si="133"/>
        <v>0</v>
      </c>
      <c r="G676" s="298">
        <f t="shared" si="134"/>
        <v>3</v>
      </c>
      <c r="H676" s="298">
        <f t="shared" si="135"/>
        <v>9</v>
      </c>
      <c r="I676" s="298">
        <f t="shared" si="136"/>
        <v>5</v>
      </c>
      <c r="J676" s="298">
        <f t="shared" si="137"/>
        <v>14</v>
      </c>
      <c r="K676" s="299">
        <f t="shared" si="138"/>
        <v>245540</v>
      </c>
      <c r="R676" s="497">
        <f t="shared" si="129"/>
        <v>245540</v>
      </c>
    </row>
    <row r="677" spans="2:18">
      <c r="B677" s="604">
        <f t="shared" si="130"/>
        <v>2573</v>
      </c>
      <c r="C677" s="297">
        <f t="shared" si="128"/>
        <v>26</v>
      </c>
      <c r="D677" s="297">
        <f t="shared" si="131"/>
        <v>2</v>
      </c>
      <c r="E677" s="297">
        <f t="shared" si="132"/>
        <v>8</v>
      </c>
      <c r="F677" s="298">
        <f t="shared" si="133"/>
        <v>1</v>
      </c>
      <c r="G677" s="298">
        <f t="shared" si="134"/>
        <v>4</v>
      </c>
      <c r="H677" s="298">
        <f t="shared" si="135"/>
        <v>28</v>
      </c>
      <c r="I677" s="298">
        <f t="shared" si="136"/>
        <v>6</v>
      </c>
      <c r="J677" s="298">
        <f t="shared" si="137"/>
        <v>34</v>
      </c>
      <c r="K677" s="299">
        <f t="shared" si="138"/>
        <v>245925</v>
      </c>
      <c r="R677" s="497">
        <f t="shared" si="129"/>
        <v>245925</v>
      </c>
    </row>
    <row r="678" spans="2:18">
      <c r="B678" s="604">
        <f t="shared" si="130"/>
        <v>2574</v>
      </c>
      <c r="C678" s="297">
        <f t="shared" si="128"/>
        <v>26</v>
      </c>
      <c r="D678" s="297">
        <f t="shared" si="131"/>
        <v>2</v>
      </c>
      <c r="E678" s="297">
        <f t="shared" si="132"/>
        <v>9</v>
      </c>
      <c r="F678" s="298">
        <f t="shared" si="133"/>
        <v>2</v>
      </c>
      <c r="G678" s="298">
        <f t="shared" si="134"/>
        <v>5</v>
      </c>
      <c r="H678" s="298">
        <f t="shared" si="135"/>
        <v>17</v>
      </c>
      <c r="I678" s="298">
        <f t="shared" si="136"/>
        <v>2</v>
      </c>
      <c r="J678" s="298">
        <f t="shared" si="137"/>
        <v>19</v>
      </c>
      <c r="K678" s="299">
        <f t="shared" si="138"/>
        <v>246275</v>
      </c>
      <c r="R678" s="497">
        <f t="shared" si="129"/>
        <v>246275</v>
      </c>
    </row>
    <row r="679" spans="2:18">
      <c r="B679" s="604">
        <f t="shared" si="130"/>
        <v>2575</v>
      </c>
      <c r="C679" s="297">
        <f t="shared" si="128"/>
        <v>26</v>
      </c>
      <c r="D679" s="297">
        <f t="shared" si="131"/>
        <v>2</v>
      </c>
      <c r="E679" s="297">
        <f t="shared" si="132"/>
        <v>10</v>
      </c>
      <c r="F679" s="298">
        <f t="shared" si="133"/>
        <v>3</v>
      </c>
      <c r="G679" s="298">
        <f t="shared" si="134"/>
        <v>6</v>
      </c>
      <c r="H679" s="298">
        <f t="shared" si="135"/>
        <v>6</v>
      </c>
      <c r="I679" s="298">
        <f t="shared" si="136"/>
        <v>5</v>
      </c>
      <c r="J679" s="298">
        <f t="shared" si="137"/>
        <v>11</v>
      </c>
      <c r="K679" s="299">
        <f t="shared" si="138"/>
        <v>246632</v>
      </c>
      <c r="R679" s="497">
        <f t="shared" si="129"/>
        <v>246632</v>
      </c>
    </row>
    <row r="680" spans="2:18">
      <c r="B680" s="604">
        <f t="shared" si="130"/>
        <v>2576</v>
      </c>
      <c r="C680" s="297">
        <f t="shared" si="128"/>
        <v>26</v>
      </c>
      <c r="D680" s="297">
        <f t="shared" si="131"/>
        <v>2</v>
      </c>
      <c r="E680" s="297">
        <f t="shared" si="132"/>
        <v>11</v>
      </c>
      <c r="F680" s="298">
        <f t="shared" si="133"/>
        <v>0</v>
      </c>
      <c r="G680" s="298">
        <f t="shared" si="134"/>
        <v>0</v>
      </c>
      <c r="H680" s="298">
        <f t="shared" si="135"/>
        <v>25</v>
      </c>
      <c r="I680" s="298">
        <f t="shared" si="136"/>
        <v>5</v>
      </c>
      <c r="J680" s="298">
        <f t="shared" si="137"/>
        <v>30</v>
      </c>
      <c r="K680" s="299">
        <f t="shared" si="138"/>
        <v>247017</v>
      </c>
      <c r="R680" s="497">
        <f t="shared" si="129"/>
        <v>247017</v>
      </c>
    </row>
    <row r="681" spans="2:18">
      <c r="B681" s="604">
        <f t="shared" si="130"/>
        <v>2577</v>
      </c>
      <c r="C681" s="297">
        <f t="shared" si="128"/>
        <v>26</v>
      </c>
      <c r="D681" s="297">
        <f t="shared" si="131"/>
        <v>2</v>
      </c>
      <c r="E681" s="297">
        <f t="shared" si="132"/>
        <v>12</v>
      </c>
      <c r="F681" s="298">
        <f t="shared" si="133"/>
        <v>1</v>
      </c>
      <c r="G681" s="298">
        <f t="shared" si="134"/>
        <v>1</v>
      </c>
      <c r="H681" s="298">
        <f t="shared" si="135"/>
        <v>14</v>
      </c>
      <c r="I681" s="298">
        <f t="shared" si="136"/>
        <v>1</v>
      </c>
      <c r="J681" s="298">
        <f t="shared" si="137"/>
        <v>15</v>
      </c>
      <c r="K681" s="299">
        <f t="shared" si="138"/>
        <v>247367</v>
      </c>
      <c r="R681" s="497">
        <f t="shared" si="129"/>
        <v>247367</v>
      </c>
    </row>
    <row r="682" spans="2:18">
      <c r="B682" s="604">
        <f t="shared" si="130"/>
        <v>2578</v>
      </c>
      <c r="C682" s="297">
        <f t="shared" si="128"/>
        <v>26</v>
      </c>
      <c r="D682" s="297">
        <f t="shared" si="131"/>
        <v>2</v>
      </c>
      <c r="E682" s="297">
        <f t="shared" si="132"/>
        <v>13</v>
      </c>
      <c r="F682" s="298">
        <f t="shared" si="133"/>
        <v>2</v>
      </c>
      <c r="G682" s="298">
        <f t="shared" si="134"/>
        <v>2</v>
      </c>
      <c r="H682" s="298">
        <f t="shared" si="135"/>
        <v>3</v>
      </c>
      <c r="I682" s="298">
        <f t="shared" si="136"/>
        <v>4</v>
      </c>
      <c r="J682" s="298">
        <f t="shared" si="137"/>
        <v>7</v>
      </c>
      <c r="K682" s="299">
        <f t="shared" si="138"/>
        <v>247724</v>
      </c>
      <c r="R682" s="497">
        <f t="shared" si="129"/>
        <v>247724</v>
      </c>
    </row>
    <row r="683" spans="2:18">
      <c r="B683" s="604">
        <f t="shared" si="130"/>
        <v>2579</v>
      </c>
      <c r="C683" s="297">
        <f t="shared" si="128"/>
        <v>26</v>
      </c>
      <c r="D683" s="297">
        <f t="shared" si="131"/>
        <v>2</v>
      </c>
      <c r="E683" s="297">
        <f t="shared" si="132"/>
        <v>14</v>
      </c>
      <c r="F683" s="298">
        <f t="shared" si="133"/>
        <v>3</v>
      </c>
      <c r="G683" s="298">
        <f t="shared" si="134"/>
        <v>3</v>
      </c>
      <c r="H683" s="298">
        <f t="shared" si="135"/>
        <v>22</v>
      </c>
      <c r="I683" s="298">
        <f t="shared" si="136"/>
        <v>5</v>
      </c>
      <c r="J683" s="298">
        <f t="shared" si="137"/>
        <v>27</v>
      </c>
      <c r="K683" s="299">
        <f t="shared" si="138"/>
        <v>248109</v>
      </c>
      <c r="R683" s="497">
        <f t="shared" si="129"/>
        <v>248109</v>
      </c>
    </row>
    <row r="684" spans="2:18">
      <c r="B684" s="604">
        <f t="shared" si="130"/>
        <v>2580</v>
      </c>
      <c r="C684" s="297">
        <f t="shared" si="128"/>
        <v>26</v>
      </c>
      <c r="D684" s="297">
        <f t="shared" si="131"/>
        <v>2</v>
      </c>
      <c r="E684" s="297">
        <f t="shared" si="132"/>
        <v>15</v>
      </c>
      <c r="F684" s="298">
        <f t="shared" si="133"/>
        <v>0</v>
      </c>
      <c r="G684" s="298">
        <f t="shared" si="134"/>
        <v>4</v>
      </c>
      <c r="H684" s="298">
        <f t="shared" si="135"/>
        <v>11</v>
      </c>
      <c r="I684" s="298">
        <f t="shared" si="136"/>
        <v>0</v>
      </c>
      <c r="J684" s="298">
        <f t="shared" si="137"/>
        <v>11</v>
      </c>
      <c r="K684" s="299">
        <f t="shared" si="138"/>
        <v>248459</v>
      </c>
      <c r="R684" s="497">
        <f t="shared" si="129"/>
        <v>248459</v>
      </c>
    </row>
    <row r="685" spans="2:18">
      <c r="B685" s="604">
        <f t="shared" si="130"/>
        <v>2581</v>
      </c>
      <c r="C685" s="297">
        <f t="shared" si="128"/>
        <v>26</v>
      </c>
      <c r="D685" s="297">
        <f t="shared" si="131"/>
        <v>2</v>
      </c>
      <c r="E685" s="297">
        <f t="shared" si="132"/>
        <v>16</v>
      </c>
      <c r="F685" s="298">
        <f t="shared" si="133"/>
        <v>1</v>
      </c>
      <c r="G685" s="298">
        <f t="shared" si="134"/>
        <v>5</v>
      </c>
      <c r="H685" s="298">
        <f t="shared" si="135"/>
        <v>0</v>
      </c>
      <c r="I685" s="298">
        <f t="shared" si="136"/>
        <v>3</v>
      </c>
      <c r="J685" s="298">
        <f t="shared" si="137"/>
        <v>3</v>
      </c>
      <c r="K685" s="299">
        <f t="shared" si="138"/>
        <v>248816</v>
      </c>
      <c r="R685" s="497">
        <f t="shared" si="129"/>
        <v>248816</v>
      </c>
    </row>
    <row r="686" spans="2:18">
      <c r="B686" s="604">
        <f t="shared" si="130"/>
        <v>2582</v>
      </c>
      <c r="C686" s="297">
        <f t="shared" si="128"/>
        <v>26</v>
      </c>
      <c r="D686" s="297">
        <f t="shared" si="131"/>
        <v>2</v>
      </c>
      <c r="E686" s="297">
        <f t="shared" si="132"/>
        <v>17</v>
      </c>
      <c r="F686" s="298">
        <f t="shared" si="133"/>
        <v>2</v>
      </c>
      <c r="G686" s="298">
        <f t="shared" si="134"/>
        <v>6</v>
      </c>
      <c r="H686" s="298">
        <f t="shared" si="135"/>
        <v>19</v>
      </c>
      <c r="I686" s="298">
        <f t="shared" si="136"/>
        <v>4</v>
      </c>
      <c r="J686" s="298">
        <f t="shared" si="137"/>
        <v>23</v>
      </c>
      <c r="K686" s="299">
        <f t="shared" si="138"/>
        <v>249201</v>
      </c>
      <c r="R686" s="497">
        <f t="shared" si="129"/>
        <v>249201</v>
      </c>
    </row>
    <row r="687" spans="2:18">
      <c r="B687" s="604">
        <f t="shared" si="130"/>
        <v>2583</v>
      </c>
      <c r="C687" s="297">
        <f t="shared" si="128"/>
        <v>26</v>
      </c>
      <c r="D687" s="297">
        <f t="shared" si="131"/>
        <v>2</v>
      </c>
      <c r="E687" s="297">
        <f t="shared" si="132"/>
        <v>18</v>
      </c>
      <c r="F687" s="298">
        <f t="shared" si="133"/>
        <v>3</v>
      </c>
      <c r="G687" s="298">
        <f t="shared" si="134"/>
        <v>0</v>
      </c>
      <c r="H687" s="298">
        <f t="shared" si="135"/>
        <v>8</v>
      </c>
      <c r="I687" s="298">
        <f t="shared" si="136"/>
        <v>0</v>
      </c>
      <c r="J687" s="298">
        <f t="shared" si="137"/>
        <v>8</v>
      </c>
      <c r="K687" s="299">
        <f t="shared" si="138"/>
        <v>249551</v>
      </c>
      <c r="R687" s="497">
        <f t="shared" si="129"/>
        <v>249551</v>
      </c>
    </row>
    <row r="688" spans="2:18">
      <c r="B688" s="604">
        <f t="shared" si="130"/>
        <v>2584</v>
      </c>
      <c r="C688" s="297">
        <f t="shared" si="128"/>
        <v>26</v>
      </c>
      <c r="D688" s="297">
        <f t="shared" si="131"/>
        <v>2</v>
      </c>
      <c r="E688" s="297">
        <f t="shared" si="132"/>
        <v>0</v>
      </c>
      <c r="F688" s="298">
        <f t="shared" si="133"/>
        <v>0</v>
      </c>
      <c r="G688" s="298">
        <f t="shared" si="134"/>
        <v>1</v>
      </c>
      <c r="H688" s="298">
        <f t="shared" si="135"/>
        <v>26</v>
      </c>
      <c r="I688" s="298">
        <f t="shared" si="136"/>
        <v>1</v>
      </c>
      <c r="J688" s="298">
        <f t="shared" si="137"/>
        <v>27</v>
      </c>
      <c r="K688" s="299">
        <f t="shared" si="138"/>
        <v>249936</v>
      </c>
      <c r="R688" s="497">
        <f t="shared" si="129"/>
        <v>249936</v>
      </c>
    </row>
    <row r="689" spans="2:18">
      <c r="B689" s="604">
        <f t="shared" si="130"/>
        <v>2585</v>
      </c>
      <c r="C689" s="297">
        <f t="shared" si="128"/>
        <v>26</v>
      </c>
      <c r="D689" s="297">
        <f t="shared" si="131"/>
        <v>2</v>
      </c>
      <c r="E689" s="297">
        <f t="shared" si="132"/>
        <v>1</v>
      </c>
      <c r="F689" s="298">
        <f t="shared" si="133"/>
        <v>1</v>
      </c>
      <c r="G689" s="298">
        <f t="shared" si="134"/>
        <v>2</v>
      </c>
      <c r="H689" s="298">
        <f t="shared" si="135"/>
        <v>15</v>
      </c>
      <c r="I689" s="298">
        <f t="shared" si="136"/>
        <v>4</v>
      </c>
      <c r="J689" s="298">
        <f t="shared" si="137"/>
        <v>19</v>
      </c>
      <c r="K689" s="299">
        <f t="shared" si="138"/>
        <v>250293</v>
      </c>
      <c r="R689" s="497">
        <f t="shared" si="129"/>
        <v>250293</v>
      </c>
    </row>
    <row r="690" spans="2:18">
      <c r="B690" s="604">
        <f t="shared" si="130"/>
        <v>2586</v>
      </c>
      <c r="C690" s="297">
        <f t="shared" si="128"/>
        <v>26</v>
      </c>
      <c r="D690" s="297">
        <f t="shared" si="131"/>
        <v>2</v>
      </c>
      <c r="E690" s="297">
        <f t="shared" si="132"/>
        <v>2</v>
      </c>
      <c r="F690" s="298">
        <f t="shared" si="133"/>
        <v>2</v>
      </c>
      <c r="G690" s="298">
        <f t="shared" si="134"/>
        <v>3</v>
      </c>
      <c r="H690" s="298">
        <f t="shared" si="135"/>
        <v>4</v>
      </c>
      <c r="I690" s="298">
        <f t="shared" si="136"/>
        <v>0</v>
      </c>
      <c r="J690" s="298">
        <f t="shared" si="137"/>
        <v>4</v>
      </c>
      <c r="K690" s="299">
        <f t="shared" si="138"/>
        <v>250643</v>
      </c>
      <c r="R690" s="497">
        <f t="shared" si="129"/>
        <v>250643</v>
      </c>
    </row>
    <row r="691" spans="2:18">
      <c r="B691" s="604">
        <f t="shared" si="130"/>
        <v>2587</v>
      </c>
      <c r="C691" s="297">
        <f t="shared" si="128"/>
        <v>26</v>
      </c>
      <c r="D691" s="297">
        <f t="shared" si="131"/>
        <v>2</v>
      </c>
      <c r="E691" s="297">
        <f t="shared" si="132"/>
        <v>3</v>
      </c>
      <c r="F691" s="298">
        <f t="shared" si="133"/>
        <v>3</v>
      </c>
      <c r="G691" s="298">
        <f t="shared" si="134"/>
        <v>4</v>
      </c>
      <c r="H691" s="298">
        <f t="shared" si="135"/>
        <v>23</v>
      </c>
      <c r="I691" s="298">
        <f t="shared" si="136"/>
        <v>1</v>
      </c>
      <c r="J691" s="298">
        <f t="shared" si="137"/>
        <v>24</v>
      </c>
      <c r="K691" s="299">
        <f t="shared" si="138"/>
        <v>251028</v>
      </c>
      <c r="R691" s="497">
        <f t="shared" si="129"/>
        <v>251028</v>
      </c>
    </row>
    <row r="692" spans="2:18">
      <c r="B692" s="604">
        <f t="shared" si="130"/>
        <v>2588</v>
      </c>
      <c r="C692" s="297">
        <f t="shared" si="128"/>
        <v>26</v>
      </c>
      <c r="D692" s="297">
        <f t="shared" si="131"/>
        <v>2</v>
      </c>
      <c r="E692" s="297">
        <f t="shared" si="132"/>
        <v>4</v>
      </c>
      <c r="F692" s="298">
        <f t="shared" si="133"/>
        <v>0</v>
      </c>
      <c r="G692" s="298">
        <f t="shared" si="134"/>
        <v>5</v>
      </c>
      <c r="H692" s="298">
        <f t="shared" si="135"/>
        <v>12</v>
      </c>
      <c r="I692" s="298">
        <f t="shared" si="136"/>
        <v>3</v>
      </c>
      <c r="J692" s="298">
        <f t="shared" si="137"/>
        <v>15</v>
      </c>
      <c r="K692" s="299">
        <f t="shared" si="138"/>
        <v>251385</v>
      </c>
      <c r="R692" s="497">
        <f t="shared" si="129"/>
        <v>251385</v>
      </c>
    </row>
    <row r="693" spans="2:18">
      <c r="B693" s="604">
        <f t="shared" si="130"/>
        <v>2589</v>
      </c>
      <c r="C693" s="297">
        <f t="shared" si="128"/>
        <v>26</v>
      </c>
      <c r="D693" s="297">
        <f t="shared" si="131"/>
        <v>2</v>
      </c>
      <c r="E693" s="297">
        <f t="shared" si="132"/>
        <v>5</v>
      </c>
      <c r="F693" s="298">
        <f t="shared" si="133"/>
        <v>1</v>
      </c>
      <c r="G693" s="298">
        <f t="shared" si="134"/>
        <v>6</v>
      </c>
      <c r="H693" s="298">
        <f t="shared" si="135"/>
        <v>1</v>
      </c>
      <c r="I693" s="298">
        <f t="shared" si="136"/>
        <v>6</v>
      </c>
      <c r="J693" s="298">
        <f t="shared" si="137"/>
        <v>7</v>
      </c>
      <c r="K693" s="299">
        <f t="shared" si="138"/>
        <v>251742</v>
      </c>
      <c r="R693" s="497">
        <f t="shared" si="129"/>
        <v>251742</v>
      </c>
    </row>
    <row r="694" spans="2:18">
      <c r="B694" s="604">
        <f t="shared" si="130"/>
        <v>2590</v>
      </c>
      <c r="C694" s="297">
        <f t="shared" si="128"/>
        <v>26</v>
      </c>
      <c r="D694" s="297">
        <f t="shared" si="131"/>
        <v>2</v>
      </c>
      <c r="E694" s="297">
        <f t="shared" si="132"/>
        <v>6</v>
      </c>
      <c r="F694" s="298">
        <f t="shared" si="133"/>
        <v>2</v>
      </c>
      <c r="G694" s="298">
        <f t="shared" si="134"/>
        <v>0</v>
      </c>
      <c r="H694" s="298">
        <f t="shared" si="135"/>
        <v>20</v>
      </c>
      <c r="I694" s="298">
        <f t="shared" si="136"/>
        <v>0</v>
      </c>
      <c r="J694" s="298">
        <f t="shared" si="137"/>
        <v>20</v>
      </c>
      <c r="K694" s="299">
        <f t="shared" si="138"/>
        <v>252120</v>
      </c>
      <c r="R694" s="497">
        <f t="shared" si="129"/>
        <v>252120</v>
      </c>
    </row>
    <row r="695" spans="2:18">
      <c r="B695" s="604">
        <f t="shared" si="130"/>
        <v>2591</v>
      </c>
      <c r="C695" s="297">
        <f t="shared" si="128"/>
        <v>26</v>
      </c>
      <c r="D695" s="297">
        <f t="shared" si="131"/>
        <v>2</v>
      </c>
      <c r="E695" s="297">
        <f t="shared" si="132"/>
        <v>7</v>
      </c>
      <c r="F695" s="298">
        <f t="shared" si="133"/>
        <v>3</v>
      </c>
      <c r="G695" s="298">
        <f t="shared" si="134"/>
        <v>1</v>
      </c>
      <c r="H695" s="298">
        <f t="shared" si="135"/>
        <v>9</v>
      </c>
      <c r="I695" s="298">
        <f t="shared" si="136"/>
        <v>3</v>
      </c>
      <c r="J695" s="298">
        <f t="shared" si="137"/>
        <v>12</v>
      </c>
      <c r="K695" s="299">
        <f t="shared" si="138"/>
        <v>252477</v>
      </c>
      <c r="R695" s="497">
        <f t="shared" si="129"/>
        <v>252477</v>
      </c>
    </row>
    <row r="696" spans="2:18">
      <c r="B696" s="604">
        <f t="shared" si="130"/>
        <v>2592</v>
      </c>
      <c r="C696" s="297">
        <f t="shared" si="128"/>
        <v>26</v>
      </c>
      <c r="D696" s="297">
        <f t="shared" si="131"/>
        <v>2</v>
      </c>
      <c r="E696" s="297">
        <f t="shared" si="132"/>
        <v>8</v>
      </c>
      <c r="F696" s="298">
        <f t="shared" si="133"/>
        <v>0</v>
      </c>
      <c r="G696" s="298">
        <f t="shared" si="134"/>
        <v>2</v>
      </c>
      <c r="H696" s="298">
        <f t="shared" si="135"/>
        <v>28</v>
      </c>
      <c r="I696" s="298">
        <f t="shared" si="136"/>
        <v>3</v>
      </c>
      <c r="J696" s="298">
        <f t="shared" si="137"/>
        <v>31</v>
      </c>
      <c r="K696" s="299">
        <f t="shared" si="138"/>
        <v>252862</v>
      </c>
      <c r="R696" s="497">
        <f t="shared" si="129"/>
        <v>252862</v>
      </c>
    </row>
    <row r="697" spans="2:18">
      <c r="B697" s="604">
        <f t="shared" si="130"/>
        <v>2593</v>
      </c>
      <c r="C697" s="297">
        <f t="shared" si="128"/>
        <v>26</v>
      </c>
      <c r="D697" s="297">
        <f t="shared" si="131"/>
        <v>2</v>
      </c>
      <c r="E697" s="297">
        <f t="shared" si="132"/>
        <v>9</v>
      </c>
      <c r="F697" s="298">
        <f t="shared" si="133"/>
        <v>1</v>
      </c>
      <c r="G697" s="298">
        <f t="shared" si="134"/>
        <v>3</v>
      </c>
      <c r="H697" s="298">
        <f t="shared" si="135"/>
        <v>17</v>
      </c>
      <c r="I697" s="298">
        <f t="shared" si="136"/>
        <v>6</v>
      </c>
      <c r="J697" s="298">
        <f t="shared" si="137"/>
        <v>23</v>
      </c>
      <c r="K697" s="299">
        <f t="shared" si="138"/>
        <v>253219</v>
      </c>
      <c r="R697" s="497">
        <f t="shared" si="129"/>
        <v>253219</v>
      </c>
    </row>
    <row r="698" spans="2:18">
      <c r="B698" s="604">
        <f t="shared" si="130"/>
        <v>2594</v>
      </c>
      <c r="C698" s="297">
        <f t="shared" si="128"/>
        <v>26</v>
      </c>
      <c r="D698" s="297">
        <f t="shared" si="131"/>
        <v>2</v>
      </c>
      <c r="E698" s="297">
        <f t="shared" si="132"/>
        <v>10</v>
      </c>
      <c r="F698" s="298">
        <f t="shared" si="133"/>
        <v>2</v>
      </c>
      <c r="G698" s="298">
        <f t="shared" si="134"/>
        <v>4</v>
      </c>
      <c r="H698" s="298">
        <f t="shared" si="135"/>
        <v>6</v>
      </c>
      <c r="I698" s="298">
        <f t="shared" si="136"/>
        <v>2</v>
      </c>
      <c r="J698" s="298">
        <f t="shared" si="137"/>
        <v>8</v>
      </c>
      <c r="K698" s="299">
        <f t="shared" si="138"/>
        <v>253569</v>
      </c>
      <c r="R698" s="497">
        <f t="shared" si="129"/>
        <v>253569</v>
      </c>
    </row>
    <row r="699" spans="2:18">
      <c r="B699" s="604">
        <f t="shared" si="130"/>
        <v>2595</v>
      </c>
      <c r="C699" s="297">
        <f t="shared" si="128"/>
        <v>26</v>
      </c>
      <c r="D699" s="297">
        <f t="shared" si="131"/>
        <v>2</v>
      </c>
      <c r="E699" s="297">
        <f t="shared" si="132"/>
        <v>11</v>
      </c>
      <c r="F699" s="298">
        <f t="shared" si="133"/>
        <v>3</v>
      </c>
      <c r="G699" s="298">
        <f t="shared" si="134"/>
        <v>5</v>
      </c>
      <c r="H699" s="298">
        <f t="shared" si="135"/>
        <v>25</v>
      </c>
      <c r="I699" s="298">
        <f t="shared" si="136"/>
        <v>3</v>
      </c>
      <c r="J699" s="298">
        <f t="shared" si="137"/>
        <v>28</v>
      </c>
      <c r="K699" s="299">
        <f t="shared" si="138"/>
        <v>253954</v>
      </c>
      <c r="R699" s="497">
        <f t="shared" si="129"/>
        <v>253954</v>
      </c>
    </row>
    <row r="700" spans="2:18">
      <c r="B700" s="604">
        <f t="shared" si="130"/>
        <v>2596</v>
      </c>
      <c r="C700" s="297">
        <f t="shared" si="128"/>
        <v>26</v>
      </c>
      <c r="D700" s="297">
        <f t="shared" si="131"/>
        <v>2</v>
      </c>
      <c r="E700" s="297">
        <f t="shared" si="132"/>
        <v>12</v>
      </c>
      <c r="F700" s="298">
        <f t="shared" si="133"/>
        <v>0</v>
      </c>
      <c r="G700" s="298">
        <f t="shared" si="134"/>
        <v>6</v>
      </c>
      <c r="H700" s="298">
        <f t="shared" si="135"/>
        <v>14</v>
      </c>
      <c r="I700" s="298">
        <f t="shared" si="136"/>
        <v>5</v>
      </c>
      <c r="J700" s="298">
        <f t="shared" si="137"/>
        <v>19</v>
      </c>
      <c r="K700" s="299">
        <f t="shared" si="138"/>
        <v>254311</v>
      </c>
      <c r="R700" s="497">
        <f t="shared" si="129"/>
        <v>254311</v>
      </c>
    </row>
    <row r="701" spans="2:18">
      <c r="B701" s="604">
        <f t="shared" si="130"/>
        <v>2597</v>
      </c>
      <c r="C701" s="297">
        <f t="shared" si="128"/>
        <v>26</v>
      </c>
      <c r="D701" s="297">
        <f t="shared" si="131"/>
        <v>2</v>
      </c>
      <c r="E701" s="297">
        <f t="shared" si="132"/>
        <v>13</v>
      </c>
      <c r="F701" s="298">
        <f t="shared" si="133"/>
        <v>1</v>
      </c>
      <c r="G701" s="298">
        <f t="shared" si="134"/>
        <v>0</v>
      </c>
      <c r="H701" s="298">
        <f t="shared" si="135"/>
        <v>3</v>
      </c>
      <c r="I701" s="298">
        <f t="shared" si="136"/>
        <v>1</v>
      </c>
      <c r="J701" s="298">
        <f t="shared" si="137"/>
        <v>4</v>
      </c>
      <c r="K701" s="299">
        <f t="shared" si="138"/>
        <v>254661</v>
      </c>
      <c r="R701" s="497">
        <f t="shared" si="129"/>
        <v>254661</v>
      </c>
    </row>
    <row r="702" spans="2:18">
      <c r="B702" s="604">
        <f t="shared" si="130"/>
        <v>2598</v>
      </c>
      <c r="C702" s="297">
        <f t="shared" si="128"/>
        <v>26</v>
      </c>
      <c r="D702" s="297">
        <f t="shared" si="131"/>
        <v>2</v>
      </c>
      <c r="E702" s="297">
        <f t="shared" si="132"/>
        <v>14</v>
      </c>
      <c r="F702" s="298">
        <f t="shared" si="133"/>
        <v>2</v>
      </c>
      <c r="G702" s="298">
        <f t="shared" si="134"/>
        <v>1</v>
      </c>
      <c r="H702" s="298">
        <f t="shared" si="135"/>
        <v>22</v>
      </c>
      <c r="I702" s="298">
        <f t="shared" si="136"/>
        <v>2</v>
      </c>
      <c r="J702" s="298">
        <f t="shared" si="137"/>
        <v>24</v>
      </c>
      <c r="K702" s="299">
        <f t="shared" si="138"/>
        <v>255046</v>
      </c>
      <c r="R702" s="497">
        <f t="shared" si="129"/>
        <v>255046</v>
      </c>
    </row>
    <row r="703" spans="2:18">
      <c r="B703" s="604">
        <f t="shared" si="130"/>
        <v>2599</v>
      </c>
      <c r="C703" s="297">
        <f t="shared" si="128"/>
        <v>26</v>
      </c>
      <c r="D703" s="297">
        <f t="shared" si="131"/>
        <v>2</v>
      </c>
      <c r="E703" s="297">
        <f t="shared" si="132"/>
        <v>15</v>
      </c>
      <c r="F703" s="298">
        <f t="shared" si="133"/>
        <v>3</v>
      </c>
      <c r="G703" s="298">
        <f t="shared" si="134"/>
        <v>2</v>
      </c>
      <c r="H703" s="298">
        <f t="shared" si="135"/>
        <v>11</v>
      </c>
      <c r="I703" s="298">
        <f t="shared" si="136"/>
        <v>5</v>
      </c>
      <c r="J703" s="298">
        <f t="shared" si="137"/>
        <v>16</v>
      </c>
      <c r="K703" s="299">
        <f t="shared" si="138"/>
        <v>255403</v>
      </c>
      <c r="R703" s="497">
        <f t="shared" si="129"/>
        <v>255403</v>
      </c>
    </row>
    <row r="704" spans="2:18">
      <c r="B704" s="604">
        <f t="shared" si="130"/>
        <v>2600</v>
      </c>
      <c r="C704" s="297">
        <f t="shared" si="128"/>
        <v>27</v>
      </c>
      <c r="D704" s="297">
        <f t="shared" si="131"/>
        <v>3</v>
      </c>
      <c r="E704" s="297">
        <f t="shared" si="132"/>
        <v>16</v>
      </c>
      <c r="F704" s="298">
        <f t="shared" si="133"/>
        <v>0</v>
      </c>
      <c r="G704" s="298">
        <f t="shared" si="134"/>
        <v>3</v>
      </c>
      <c r="H704" s="298">
        <f t="shared" si="135"/>
        <v>1</v>
      </c>
      <c r="I704" s="298">
        <f t="shared" si="136"/>
        <v>0</v>
      </c>
      <c r="J704" s="298">
        <f t="shared" si="137"/>
        <v>1</v>
      </c>
      <c r="K704" s="299">
        <f t="shared" si="138"/>
        <v>255753</v>
      </c>
      <c r="R704" s="497">
        <f t="shared" si="129"/>
        <v>255753</v>
      </c>
    </row>
    <row r="705" spans="2:18">
      <c r="B705" s="604">
        <f t="shared" si="130"/>
        <v>2601</v>
      </c>
      <c r="C705" s="297">
        <f t="shared" si="128"/>
        <v>27</v>
      </c>
      <c r="D705" s="297">
        <f t="shared" si="131"/>
        <v>3</v>
      </c>
      <c r="E705" s="297">
        <f t="shared" si="132"/>
        <v>17</v>
      </c>
      <c r="F705" s="298">
        <f t="shared" si="133"/>
        <v>1</v>
      </c>
      <c r="G705" s="298">
        <f t="shared" si="134"/>
        <v>4</v>
      </c>
      <c r="H705" s="298">
        <f t="shared" si="135"/>
        <v>20</v>
      </c>
      <c r="I705" s="298">
        <f t="shared" si="136"/>
        <v>1</v>
      </c>
      <c r="J705" s="298">
        <f t="shared" si="137"/>
        <v>21</v>
      </c>
      <c r="K705" s="299">
        <f t="shared" si="138"/>
        <v>256138</v>
      </c>
      <c r="R705" s="497">
        <f t="shared" si="129"/>
        <v>256138</v>
      </c>
    </row>
    <row r="706" spans="2:18">
      <c r="B706" s="604">
        <f t="shared" si="130"/>
        <v>2602</v>
      </c>
      <c r="C706" s="297">
        <f t="shared" si="128"/>
        <v>27</v>
      </c>
      <c r="D706" s="297">
        <f t="shared" si="131"/>
        <v>3</v>
      </c>
      <c r="E706" s="297">
        <f t="shared" si="132"/>
        <v>18</v>
      </c>
      <c r="F706" s="298">
        <f t="shared" si="133"/>
        <v>2</v>
      </c>
      <c r="G706" s="298">
        <f t="shared" si="134"/>
        <v>5</v>
      </c>
      <c r="H706" s="298">
        <f t="shared" si="135"/>
        <v>9</v>
      </c>
      <c r="I706" s="298">
        <f t="shared" si="136"/>
        <v>4</v>
      </c>
      <c r="J706" s="298">
        <f t="shared" si="137"/>
        <v>13</v>
      </c>
      <c r="K706" s="299">
        <f t="shared" si="138"/>
        <v>256495</v>
      </c>
      <c r="R706" s="497">
        <f t="shared" si="129"/>
        <v>256495</v>
      </c>
    </row>
    <row r="707" spans="2:18">
      <c r="B707" s="604">
        <f t="shared" si="130"/>
        <v>2603</v>
      </c>
      <c r="C707" s="297">
        <f t="shared" si="128"/>
        <v>27</v>
      </c>
      <c r="D707" s="297">
        <f t="shared" si="131"/>
        <v>3</v>
      </c>
      <c r="E707" s="297">
        <f t="shared" si="132"/>
        <v>0</v>
      </c>
      <c r="F707" s="298">
        <f t="shared" si="133"/>
        <v>3</v>
      </c>
      <c r="G707" s="298">
        <f t="shared" si="134"/>
        <v>6</v>
      </c>
      <c r="H707" s="298">
        <f t="shared" si="135"/>
        <v>27</v>
      </c>
      <c r="I707" s="298">
        <f t="shared" si="136"/>
        <v>6</v>
      </c>
      <c r="J707" s="298">
        <f t="shared" si="137"/>
        <v>33</v>
      </c>
      <c r="K707" s="299">
        <f t="shared" si="138"/>
        <v>256880</v>
      </c>
      <c r="R707" s="497">
        <f t="shared" si="129"/>
        <v>256880</v>
      </c>
    </row>
    <row r="708" spans="2:18">
      <c r="B708" s="604">
        <f t="shared" si="130"/>
        <v>2604</v>
      </c>
      <c r="C708" s="297">
        <f t="shared" si="128"/>
        <v>27</v>
      </c>
      <c r="D708" s="297">
        <f t="shared" si="131"/>
        <v>3</v>
      </c>
      <c r="E708" s="297">
        <f t="shared" si="132"/>
        <v>1</v>
      </c>
      <c r="F708" s="298">
        <f t="shared" si="133"/>
        <v>0</v>
      </c>
      <c r="G708" s="298">
        <f t="shared" si="134"/>
        <v>0</v>
      </c>
      <c r="H708" s="298">
        <f t="shared" si="135"/>
        <v>16</v>
      </c>
      <c r="I708" s="298">
        <f t="shared" si="136"/>
        <v>1</v>
      </c>
      <c r="J708" s="298">
        <f t="shared" si="137"/>
        <v>17</v>
      </c>
      <c r="K708" s="299">
        <f t="shared" si="138"/>
        <v>257230</v>
      </c>
      <c r="R708" s="497">
        <f t="shared" si="129"/>
        <v>257230</v>
      </c>
    </row>
    <row r="709" spans="2:18">
      <c r="B709" s="604">
        <f t="shared" si="130"/>
        <v>2605</v>
      </c>
      <c r="C709" s="297">
        <f t="shared" ref="C709:C772" si="139">VLOOKUP(B709,$M$4:$P$86,3,TRUE)</f>
        <v>27</v>
      </c>
      <c r="D709" s="297">
        <f t="shared" si="131"/>
        <v>3</v>
      </c>
      <c r="E709" s="297">
        <f t="shared" si="132"/>
        <v>2</v>
      </c>
      <c r="F709" s="298">
        <f t="shared" si="133"/>
        <v>1</v>
      </c>
      <c r="G709" s="298">
        <f t="shared" si="134"/>
        <v>1</v>
      </c>
      <c r="H709" s="298">
        <f t="shared" si="135"/>
        <v>5</v>
      </c>
      <c r="I709" s="298">
        <f t="shared" si="136"/>
        <v>4</v>
      </c>
      <c r="J709" s="298">
        <f t="shared" si="137"/>
        <v>9</v>
      </c>
      <c r="K709" s="299">
        <f t="shared" si="138"/>
        <v>257587</v>
      </c>
      <c r="R709" s="497">
        <f t="shared" ref="R709:R772" si="140">IF(MOD(19*MOD(B709,19)+C709,30)+MOD(2*MOD(B709,4)+4*MOD(B709,7)+6*MOD(19*MOD(B709,19)+C709,30)+D709,7)-9&lt;=0,DATE(B709,3,22+MOD(19*MOD(B709,19)+C709,30)+MOD(2*MOD(B709,4)+4*MOD(B709,7)+6*MOD(19*MOD(B709,19)+C709,30)+D709,7)),DATE(B709,4,MOD(19*MOD(B709,19)+C709,30)+MOD(2*MOD(B709,4)+4*MOD(B709,7)+6*MOD(19*MOD(B709,19)+C709,30)+D709,7)-9))</f>
        <v>257587</v>
      </c>
    </row>
    <row r="710" spans="2:18">
      <c r="B710" s="604">
        <f t="shared" ref="B710:B773" si="141">B709+1</f>
        <v>2606</v>
      </c>
      <c r="C710" s="297">
        <f t="shared" si="139"/>
        <v>27</v>
      </c>
      <c r="D710" s="297">
        <f t="shared" si="131"/>
        <v>3</v>
      </c>
      <c r="E710" s="297">
        <f t="shared" si="132"/>
        <v>3</v>
      </c>
      <c r="F710" s="298">
        <f t="shared" si="133"/>
        <v>2</v>
      </c>
      <c r="G710" s="298">
        <f t="shared" si="134"/>
        <v>2</v>
      </c>
      <c r="H710" s="298">
        <f t="shared" si="135"/>
        <v>24</v>
      </c>
      <c r="I710" s="298">
        <f t="shared" si="136"/>
        <v>5</v>
      </c>
      <c r="J710" s="298">
        <f t="shared" si="137"/>
        <v>29</v>
      </c>
      <c r="K710" s="299">
        <f t="shared" si="138"/>
        <v>257972</v>
      </c>
      <c r="R710" s="497">
        <f t="shared" si="140"/>
        <v>257972</v>
      </c>
    </row>
    <row r="711" spans="2:18">
      <c r="B711" s="604">
        <f t="shared" si="141"/>
        <v>2607</v>
      </c>
      <c r="C711" s="297">
        <f t="shared" si="139"/>
        <v>27</v>
      </c>
      <c r="D711" s="297">
        <f t="shared" si="131"/>
        <v>3</v>
      </c>
      <c r="E711" s="297">
        <f t="shared" si="132"/>
        <v>4</v>
      </c>
      <c r="F711" s="298">
        <f t="shared" si="133"/>
        <v>3</v>
      </c>
      <c r="G711" s="298">
        <f t="shared" si="134"/>
        <v>3</v>
      </c>
      <c r="H711" s="298">
        <f t="shared" si="135"/>
        <v>13</v>
      </c>
      <c r="I711" s="298">
        <f t="shared" si="136"/>
        <v>1</v>
      </c>
      <c r="J711" s="298">
        <f t="shared" si="137"/>
        <v>14</v>
      </c>
      <c r="K711" s="299">
        <f t="shared" si="138"/>
        <v>258322</v>
      </c>
      <c r="R711" s="497">
        <f t="shared" si="140"/>
        <v>258322</v>
      </c>
    </row>
    <row r="712" spans="2:18">
      <c r="B712" s="604">
        <f t="shared" si="141"/>
        <v>2608</v>
      </c>
      <c r="C712" s="297">
        <f t="shared" si="139"/>
        <v>27</v>
      </c>
      <c r="D712" s="297">
        <f t="shared" si="131"/>
        <v>3</v>
      </c>
      <c r="E712" s="297">
        <f t="shared" si="132"/>
        <v>5</v>
      </c>
      <c r="F712" s="298">
        <f t="shared" si="133"/>
        <v>0</v>
      </c>
      <c r="G712" s="298">
        <f t="shared" si="134"/>
        <v>4</v>
      </c>
      <c r="H712" s="298">
        <f t="shared" si="135"/>
        <v>2</v>
      </c>
      <c r="I712" s="298">
        <f t="shared" si="136"/>
        <v>3</v>
      </c>
      <c r="J712" s="298">
        <f t="shared" si="137"/>
        <v>5</v>
      </c>
      <c r="K712" s="299">
        <f t="shared" si="138"/>
        <v>258679</v>
      </c>
      <c r="R712" s="497">
        <f t="shared" si="140"/>
        <v>258679</v>
      </c>
    </row>
    <row r="713" spans="2:18">
      <c r="B713" s="604">
        <f t="shared" si="141"/>
        <v>2609</v>
      </c>
      <c r="C713" s="297">
        <f t="shared" si="139"/>
        <v>27</v>
      </c>
      <c r="D713" s="297">
        <f t="shared" si="131"/>
        <v>3</v>
      </c>
      <c r="E713" s="297">
        <f t="shared" si="132"/>
        <v>6</v>
      </c>
      <c r="F713" s="298">
        <f t="shared" si="133"/>
        <v>1</v>
      </c>
      <c r="G713" s="298">
        <f t="shared" si="134"/>
        <v>5</v>
      </c>
      <c r="H713" s="298">
        <f t="shared" si="135"/>
        <v>21</v>
      </c>
      <c r="I713" s="298">
        <f t="shared" si="136"/>
        <v>4</v>
      </c>
      <c r="J713" s="298">
        <f t="shared" si="137"/>
        <v>25</v>
      </c>
      <c r="K713" s="299">
        <f t="shared" si="138"/>
        <v>259064</v>
      </c>
      <c r="R713" s="497">
        <f t="shared" si="140"/>
        <v>259064</v>
      </c>
    </row>
    <row r="714" spans="2:18">
      <c r="B714" s="604">
        <f t="shared" si="141"/>
        <v>2610</v>
      </c>
      <c r="C714" s="297">
        <f t="shared" si="139"/>
        <v>27</v>
      </c>
      <c r="D714" s="297">
        <f t="shared" ref="D714:D777" si="142">VLOOKUP(B714,$M$4:$P$86,4,TRUE)</f>
        <v>3</v>
      </c>
      <c r="E714" s="297">
        <f t="shared" ref="E714:E777" si="143">MOD(B714,19)</f>
        <v>7</v>
      </c>
      <c r="F714" s="298">
        <f t="shared" ref="F714:F777" si="144">MOD(B714,4)</f>
        <v>2</v>
      </c>
      <c r="G714" s="298">
        <f t="shared" ref="G714:G777" si="145">MOD(B714,7)</f>
        <v>6</v>
      </c>
      <c r="H714" s="298">
        <f t="shared" ref="H714:H777" si="146">MOD(19*E714+C714,30)</f>
        <v>10</v>
      </c>
      <c r="I714" s="298">
        <f t="shared" ref="I714:I777" si="147">MOD(2*F714+4*G714+6*H714+D714,7)</f>
        <v>0</v>
      </c>
      <c r="J714" s="298">
        <f t="shared" ref="J714:J777" si="148">H714+I714</f>
        <v>10</v>
      </c>
      <c r="K714" s="299">
        <f t="shared" ref="K714:K777" si="149">IF(J714&lt;10,DATE(B714,3,J714+22),IF(J714-9=26,DATE(B714,4,19),IF(AND(J714-9=25,H714=28,I714=6,E714&gt;10),DATE(B714,4,18),DATE(B714,4,J714-9))))</f>
        <v>259414</v>
      </c>
      <c r="R714" s="497">
        <f t="shared" si="140"/>
        <v>259414</v>
      </c>
    </row>
    <row r="715" spans="2:18">
      <c r="B715" s="604">
        <f t="shared" si="141"/>
        <v>2611</v>
      </c>
      <c r="C715" s="297">
        <f t="shared" si="139"/>
        <v>27</v>
      </c>
      <c r="D715" s="297">
        <f t="shared" si="142"/>
        <v>3</v>
      </c>
      <c r="E715" s="297">
        <f t="shared" si="143"/>
        <v>8</v>
      </c>
      <c r="F715" s="298">
        <f t="shared" si="144"/>
        <v>3</v>
      </c>
      <c r="G715" s="298">
        <f t="shared" si="145"/>
        <v>0</v>
      </c>
      <c r="H715" s="298">
        <f t="shared" si="146"/>
        <v>29</v>
      </c>
      <c r="I715" s="298">
        <f t="shared" si="147"/>
        <v>1</v>
      </c>
      <c r="J715" s="298">
        <f t="shared" si="148"/>
        <v>30</v>
      </c>
      <c r="K715" s="299">
        <f t="shared" si="149"/>
        <v>259799</v>
      </c>
      <c r="R715" s="497">
        <f t="shared" si="140"/>
        <v>259799</v>
      </c>
    </row>
    <row r="716" spans="2:18">
      <c r="B716" s="604">
        <f t="shared" si="141"/>
        <v>2612</v>
      </c>
      <c r="C716" s="297">
        <f t="shared" si="139"/>
        <v>27</v>
      </c>
      <c r="D716" s="297">
        <f t="shared" si="142"/>
        <v>3</v>
      </c>
      <c r="E716" s="297">
        <f t="shared" si="143"/>
        <v>9</v>
      </c>
      <c r="F716" s="298">
        <f t="shared" si="144"/>
        <v>0</v>
      </c>
      <c r="G716" s="298">
        <f t="shared" si="145"/>
        <v>1</v>
      </c>
      <c r="H716" s="298">
        <f t="shared" si="146"/>
        <v>18</v>
      </c>
      <c r="I716" s="298">
        <f t="shared" si="147"/>
        <v>3</v>
      </c>
      <c r="J716" s="298">
        <f t="shared" si="148"/>
        <v>21</v>
      </c>
      <c r="K716" s="299">
        <f t="shared" si="149"/>
        <v>260156</v>
      </c>
      <c r="R716" s="497">
        <f t="shared" si="140"/>
        <v>260156</v>
      </c>
    </row>
    <row r="717" spans="2:18">
      <c r="B717" s="604">
        <f t="shared" si="141"/>
        <v>2613</v>
      </c>
      <c r="C717" s="297">
        <f t="shared" si="139"/>
        <v>27</v>
      </c>
      <c r="D717" s="297">
        <f t="shared" si="142"/>
        <v>3</v>
      </c>
      <c r="E717" s="297">
        <f t="shared" si="143"/>
        <v>10</v>
      </c>
      <c r="F717" s="298">
        <f t="shared" si="144"/>
        <v>1</v>
      </c>
      <c r="G717" s="298">
        <f t="shared" si="145"/>
        <v>2</v>
      </c>
      <c r="H717" s="298">
        <f t="shared" si="146"/>
        <v>7</v>
      </c>
      <c r="I717" s="298">
        <f t="shared" si="147"/>
        <v>6</v>
      </c>
      <c r="J717" s="298">
        <f t="shared" si="148"/>
        <v>13</v>
      </c>
      <c r="K717" s="299">
        <f t="shared" si="149"/>
        <v>260513</v>
      </c>
      <c r="R717" s="497">
        <f t="shared" si="140"/>
        <v>260513</v>
      </c>
    </row>
    <row r="718" spans="2:18">
      <c r="B718" s="604">
        <f t="shared" si="141"/>
        <v>2614</v>
      </c>
      <c r="C718" s="297">
        <f t="shared" si="139"/>
        <v>27</v>
      </c>
      <c r="D718" s="297">
        <f t="shared" si="142"/>
        <v>3</v>
      </c>
      <c r="E718" s="297">
        <f t="shared" si="143"/>
        <v>11</v>
      </c>
      <c r="F718" s="298">
        <f t="shared" si="144"/>
        <v>2</v>
      </c>
      <c r="G718" s="298">
        <f t="shared" si="145"/>
        <v>3</v>
      </c>
      <c r="H718" s="298">
        <f t="shared" si="146"/>
        <v>26</v>
      </c>
      <c r="I718" s="298">
        <f t="shared" si="147"/>
        <v>0</v>
      </c>
      <c r="J718" s="298">
        <f t="shared" si="148"/>
        <v>26</v>
      </c>
      <c r="K718" s="299">
        <f t="shared" si="149"/>
        <v>260891</v>
      </c>
      <c r="R718" s="497">
        <f t="shared" si="140"/>
        <v>260891</v>
      </c>
    </row>
    <row r="719" spans="2:18">
      <c r="B719" s="604">
        <f t="shared" si="141"/>
        <v>2615</v>
      </c>
      <c r="C719" s="297">
        <f t="shared" si="139"/>
        <v>27</v>
      </c>
      <c r="D719" s="297">
        <f t="shared" si="142"/>
        <v>3</v>
      </c>
      <c r="E719" s="297">
        <f t="shared" si="143"/>
        <v>12</v>
      </c>
      <c r="F719" s="298">
        <f t="shared" si="144"/>
        <v>3</v>
      </c>
      <c r="G719" s="298">
        <f t="shared" si="145"/>
        <v>4</v>
      </c>
      <c r="H719" s="298">
        <f t="shared" si="146"/>
        <v>15</v>
      </c>
      <c r="I719" s="298">
        <f t="shared" si="147"/>
        <v>3</v>
      </c>
      <c r="J719" s="298">
        <f t="shared" si="148"/>
        <v>18</v>
      </c>
      <c r="K719" s="299">
        <f t="shared" si="149"/>
        <v>261248</v>
      </c>
      <c r="R719" s="497">
        <f t="shared" si="140"/>
        <v>261248</v>
      </c>
    </row>
    <row r="720" spans="2:18">
      <c r="B720" s="604">
        <f t="shared" si="141"/>
        <v>2616</v>
      </c>
      <c r="C720" s="297">
        <f t="shared" si="139"/>
        <v>27</v>
      </c>
      <c r="D720" s="297">
        <f t="shared" si="142"/>
        <v>3</v>
      </c>
      <c r="E720" s="297">
        <f t="shared" si="143"/>
        <v>13</v>
      </c>
      <c r="F720" s="298">
        <f t="shared" si="144"/>
        <v>0</v>
      </c>
      <c r="G720" s="298">
        <f t="shared" si="145"/>
        <v>5</v>
      </c>
      <c r="H720" s="298">
        <f t="shared" si="146"/>
        <v>4</v>
      </c>
      <c r="I720" s="298">
        <f t="shared" si="147"/>
        <v>5</v>
      </c>
      <c r="J720" s="298">
        <f t="shared" si="148"/>
        <v>9</v>
      </c>
      <c r="K720" s="299">
        <f t="shared" si="149"/>
        <v>261605</v>
      </c>
      <c r="R720" s="497">
        <f t="shared" si="140"/>
        <v>261605</v>
      </c>
    </row>
    <row r="721" spans="2:18">
      <c r="B721" s="604">
        <f t="shared" si="141"/>
        <v>2617</v>
      </c>
      <c r="C721" s="297">
        <f t="shared" si="139"/>
        <v>27</v>
      </c>
      <c r="D721" s="297">
        <f t="shared" si="142"/>
        <v>3</v>
      </c>
      <c r="E721" s="297">
        <f t="shared" si="143"/>
        <v>14</v>
      </c>
      <c r="F721" s="298">
        <f t="shared" si="144"/>
        <v>1</v>
      </c>
      <c r="G721" s="298">
        <f t="shared" si="145"/>
        <v>6</v>
      </c>
      <c r="H721" s="298">
        <f t="shared" si="146"/>
        <v>23</v>
      </c>
      <c r="I721" s="298">
        <f t="shared" si="147"/>
        <v>6</v>
      </c>
      <c r="J721" s="298">
        <f t="shared" si="148"/>
        <v>29</v>
      </c>
      <c r="K721" s="299">
        <f t="shared" si="149"/>
        <v>261990</v>
      </c>
      <c r="R721" s="497">
        <f t="shared" si="140"/>
        <v>261990</v>
      </c>
    </row>
    <row r="722" spans="2:18">
      <c r="B722" s="604">
        <f t="shared" si="141"/>
        <v>2618</v>
      </c>
      <c r="C722" s="297">
        <f t="shared" si="139"/>
        <v>27</v>
      </c>
      <c r="D722" s="297">
        <f t="shared" si="142"/>
        <v>3</v>
      </c>
      <c r="E722" s="297">
        <f t="shared" si="143"/>
        <v>15</v>
      </c>
      <c r="F722" s="298">
        <f t="shared" si="144"/>
        <v>2</v>
      </c>
      <c r="G722" s="298">
        <f t="shared" si="145"/>
        <v>0</v>
      </c>
      <c r="H722" s="298">
        <f t="shared" si="146"/>
        <v>12</v>
      </c>
      <c r="I722" s="298">
        <f t="shared" si="147"/>
        <v>2</v>
      </c>
      <c r="J722" s="298">
        <f t="shared" si="148"/>
        <v>14</v>
      </c>
      <c r="K722" s="299">
        <f t="shared" si="149"/>
        <v>262340</v>
      </c>
      <c r="R722" s="497">
        <f t="shared" si="140"/>
        <v>262340</v>
      </c>
    </row>
    <row r="723" spans="2:18">
      <c r="B723" s="604">
        <f t="shared" si="141"/>
        <v>2619</v>
      </c>
      <c r="C723" s="297">
        <f t="shared" si="139"/>
        <v>27</v>
      </c>
      <c r="D723" s="297">
        <f t="shared" si="142"/>
        <v>3</v>
      </c>
      <c r="E723" s="297">
        <f t="shared" si="143"/>
        <v>16</v>
      </c>
      <c r="F723" s="298">
        <f t="shared" si="144"/>
        <v>3</v>
      </c>
      <c r="G723" s="298">
        <f t="shared" si="145"/>
        <v>1</v>
      </c>
      <c r="H723" s="298">
        <f t="shared" si="146"/>
        <v>1</v>
      </c>
      <c r="I723" s="298">
        <f t="shared" si="147"/>
        <v>5</v>
      </c>
      <c r="J723" s="298">
        <f t="shared" si="148"/>
        <v>6</v>
      </c>
      <c r="K723" s="299">
        <f t="shared" si="149"/>
        <v>262697</v>
      </c>
      <c r="R723" s="497">
        <f t="shared" si="140"/>
        <v>262697</v>
      </c>
    </row>
    <row r="724" spans="2:18">
      <c r="B724" s="604">
        <f t="shared" si="141"/>
        <v>2620</v>
      </c>
      <c r="C724" s="297">
        <f t="shared" si="139"/>
        <v>27</v>
      </c>
      <c r="D724" s="297">
        <f t="shared" si="142"/>
        <v>3</v>
      </c>
      <c r="E724" s="297">
        <f t="shared" si="143"/>
        <v>17</v>
      </c>
      <c r="F724" s="298">
        <f t="shared" si="144"/>
        <v>0</v>
      </c>
      <c r="G724" s="298">
        <f t="shared" si="145"/>
        <v>2</v>
      </c>
      <c r="H724" s="298">
        <f t="shared" si="146"/>
        <v>20</v>
      </c>
      <c r="I724" s="298">
        <f t="shared" si="147"/>
        <v>5</v>
      </c>
      <c r="J724" s="298">
        <f t="shared" si="148"/>
        <v>25</v>
      </c>
      <c r="K724" s="299">
        <f t="shared" si="149"/>
        <v>263082</v>
      </c>
      <c r="R724" s="497">
        <f t="shared" si="140"/>
        <v>263082</v>
      </c>
    </row>
    <row r="725" spans="2:18">
      <c r="B725" s="604">
        <f t="shared" si="141"/>
        <v>2621</v>
      </c>
      <c r="C725" s="297">
        <f t="shared" si="139"/>
        <v>27</v>
      </c>
      <c r="D725" s="297">
        <f t="shared" si="142"/>
        <v>3</v>
      </c>
      <c r="E725" s="297">
        <f t="shared" si="143"/>
        <v>18</v>
      </c>
      <c r="F725" s="298">
        <f t="shared" si="144"/>
        <v>1</v>
      </c>
      <c r="G725" s="298">
        <f t="shared" si="145"/>
        <v>3</v>
      </c>
      <c r="H725" s="298">
        <f t="shared" si="146"/>
        <v>9</v>
      </c>
      <c r="I725" s="298">
        <f t="shared" si="147"/>
        <v>1</v>
      </c>
      <c r="J725" s="298">
        <f t="shared" si="148"/>
        <v>10</v>
      </c>
      <c r="K725" s="299">
        <f t="shared" si="149"/>
        <v>263432</v>
      </c>
      <c r="R725" s="497">
        <f t="shared" si="140"/>
        <v>263432</v>
      </c>
    </row>
    <row r="726" spans="2:18">
      <c r="B726" s="604">
        <f t="shared" si="141"/>
        <v>2622</v>
      </c>
      <c r="C726" s="297">
        <f t="shared" si="139"/>
        <v>27</v>
      </c>
      <c r="D726" s="297">
        <f t="shared" si="142"/>
        <v>3</v>
      </c>
      <c r="E726" s="297">
        <f t="shared" si="143"/>
        <v>0</v>
      </c>
      <c r="F726" s="298">
        <f t="shared" si="144"/>
        <v>2</v>
      </c>
      <c r="G726" s="298">
        <f t="shared" si="145"/>
        <v>4</v>
      </c>
      <c r="H726" s="298">
        <f t="shared" si="146"/>
        <v>27</v>
      </c>
      <c r="I726" s="298">
        <f t="shared" si="147"/>
        <v>3</v>
      </c>
      <c r="J726" s="298">
        <f t="shared" si="148"/>
        <v>30</v>
      </c>
      <c r="K726" s="299">
        <f t="shared" si="149"/>
        <v>263817</v>
      </c>
      <c r="R726" s="497">
        <f t="shared" si="140"/>
        <v>263817</v>
      </c>
    </row>
    <row r="727" spans="2:18">
      <c r="B727" s="604">
        <f t="shared" si="141"/>
        <v>2623</v>
      </c>
      <c r="C727" s="297">
        <f t="shared" si="139"/>
        <v>27</v>
      </c>
      <c r="D727" s="297">
        <f t="shared" si="142"/>
        <v>3</v>
      </c>
      <c r="E727" s="297">
        <f t="shared" si="143"/>
        <v>1</v>
      </c>
      <c r="F727" s="298">
        <f t="shared" si="144"/>
        <v>3</v>
      </c>
      <c r="G727" s="298">
        <f t="shared" si="145"/>
        <v>5</v>
      </c>
      <c r="H727" s="298">
        <f t="shared" si="146"/>
        <v>16</v>
      </c>
      <c r="I727" s="298">
        <f t="shared" si="147"/>
        <v>6</v>
      </c>
      <c r="J727" s="298">
        <f t="shared" si="148"/>
        <v>22</v>
      </c>
      <c r="K727" s="299">
        <f t="shared" si="149"/>
        <v>264174</v>
      </c>
      <c r="R727" s="497">
        <f t="shared" si="140"/>
        <v>264174</v>
      </c>
    </row>
    <row r="728" spans="2:18">
      <c r="B728" s="604">
        <f t="shared" si="141"/>
        <v>2624</v>
      </c>
      <c r="C728" s="297">
        <f t="shared" si="139"/>
        <v>27</v>
      </c>
      <c r="D728" s="297">
        <f t="shared" si="142"/>
        <v>3</v>
      </c>
      <c r="E728" s="297">
        <f t="shared" si="143"/>
        <v>2</v>
      </c>
      <c r="F728" s="298">
        <f t="shared" si="144"/>
        <v>0</v>
      </c>
      <c r="G728" s="298">
        <f t="shared" si="145"/>
        <v>6</v>
      </c>
      <c r="H728" s="298">
        <f t="shared" si="146"/>
        <v>5</v>
      </c>
      <c r="I728" s="298">
        <f t="shared" si="147"/>
        <v>1</v>
      </c>
      <c r="J728" s="298">
        <f t="shared" si="148"/>
        <v>6</v>
      </c>
      <c r="K728" s="299">
        <f t="shared" si="149"/>
        <v>264524</v>
      </c>
      <c r="R728" s="497">
        <f t="shared" si="140"/>
        <v>264524</v>
      </c>
    </row>
    <row r="729" spans="2:18">
      <c r="B729" s="604">
        <f t="shared" si="141"/>
        <v>2625</v>
      </c>
      <c r="C729" s="297">
        <f t="shared" si="139"/>
        <v>27</v>
      </c>
      <c r="D729" s="297">
        <f t="shared" si="142"/>
        <v>3</v>
      </c>
      <c r="E729" s="297">
        <f t="shared" si="143"/>
        <v>3</v>
      </c>
      <c r="F729" s="298">
        <f t="shared" si="144"/>
        <v>1</v>
      </c>
      <c r="G729" s="298">
        <f t="shared" si="145"/>
        <v>0</v>
      </c>
      <c r="H729" s="298">
        <f t="shared" si="146"/>
        <v>24</v>
      </c>
      <c r="I729" s="298">
        <f t="shared" si="147"/>
        <v>2</v>
      </c>
      <c r="J729" s="298">
        <f t="shared" si="148"/>
        <v>26</v>
      </c>
      <c r="K729" s="299">
        <f t="shared" si="149"/>
        <v>264909</v>
      </c>
      <c r="R729" s="497">
        <f t="shared" si="140"/>
        <v>264909</v>
      </c>
    </row>
    <row r="730" spans="2:18">
      <c r="B730" s="604">
        <f t="shared" si="141"/>
        <v>2626</v>
      </c>
      <c r="C730" s="297">
        <f t="shared" si="139"/>
        <v>27</v>
      </c>
      <c r="D730" s="297">
        <f t="shared" si="142"/>
        <v>3</v>
      </c>
      <c r="E730" s="297">
        <f t="shared" si="143"/>
        <v>4</v>
      </c>
      <c r="F730" s="298">
        <f t="shared" si="144"/>
        <v>2</v>
      </c>
      <c r="G730" s="298">
        <f t="shared" si="145"/>
        <v>1</v>
      </c>
      <c r="H730" s="298">
        <f t="shared" si="146"/>
        <v>13</v>
      </c>
      <c r="I730" s="298">
        <f t="shared" si="147"/>
        <v>5</v>
      </c>
      <c r="J730" s="298">
        <f t="shared" si="148"/>
        <v>18</v>
      </c>
      <c r="K730" s="299">
        <f t="shared" si="149"/>
        <v>265266</v>
      </c>
      <c r="R730" s="497">
        <f t="shared" si="140"/>
        <v>265266</v>
      </c>
    </row>
    <row r="731" spans="2:18">
      <c r="B731" s="604">
        <f t="shared" si="141"/>
        <v>2627</v>
      </c>
      <c r="C731" s="297">
        <f t="shared" si="139"/>
        <v>27</v>
      </c>
      <c r="D731" s="297">
        <f t="shared" si="142"/>
        <v>3</v>
      </c>
      <c r="E731" s="297">
        <f t="shared" si="143"/>
        <v>5</v>
      </c>
      <c r="F731" s="298">
        <f t="shared" si="144"/>
        <v>3</v>
      </c>
      <c r="G731" s="298">
        <f t="shared" si="145"/>
        <v>2</v>
      </c>
      <c r="H731" s="298">
        <f t="shared" si="146"/>
        <v>2</v>
      </c>
      <c r="I731" s="298">
        <f t="shared" si="147"/>
        <v>1</v>
      </c>
      <c r="J731" s="298">
        <f t="shared" si="148"/>
        <v>3</v>
      </c>
      <c r="K731" s="299">
        <f t="shared" si="149"/>
        <v>265616</v>
      </c>
      <c r="R731" s="497">
        <f t="shared" si="140"/>
        <v>265616</v>
      </c>
    </row>
    <row r="732" spans="2:18">
      <c r="B732" s="604">
        <f t="shared" si="141"/>
        <v>2628</v>
      </c>
      <c r="C732" s="297">
        <f t="shared" si="139"/>
        <v>27</v>
      </c>
      <c r="D732" s="297">
        <f t="shared" si="142"/>
        <v>3</v>
      </c>
      <c r="E732" s="297">
        <f t="shared" si="143"/>
        <v>6</v>
      </c>
      <c r="F732" s="298">
        <f t="shared" si="144"/>
        <v>0</v>
      </c>
      <c r="G732" s="298">
        <f t="shared" si="145"/>
        <v>3</v>
      </c>
      <c r="H732" s="298">
        <f t="shared" si="146"/>
        <v>21</v>
      </c>
      <c r="I732" s="298">
        <f t="shared" si="147"/>
        <v>1</v>
      </c>
      <c r="J732" s="298">
        <f t="shared" si="148"/>
        <v>22</v>
      </c>
      <c r="K732" s="299">
        <f t="shared" si="149"/>
        <v>266001</v>
      </c>
      <c r="R732" s="497">
        <f t="shared" si="140"/>
        <v>266001</v>
      </c>
    </row>
    <row r="733" spans="2:18">
      <c r="B733" s="604">
        <f t="shared" si="141"/>
        <v>2629</v>
      </c>
      <c r="C733" s="297">
        <f t="shared" si="139"/>
        <v>27</v>
      </c>
      <c r="D733" s="297">
        <f t="shared" si="142"/>
        <v>3</v>
      </c>
      <c r="E733" s="297">
        <f t="shared" si="143"/>
        <v>7</v>
      </c>
      <c r="F733" s="298">
        <f t="shared" si="144"/>
        <v>1</v>
      </c>
      <c r="G733" s="298">
        <f t="shared" si="145"/>
        <v>4</v>
      </c>
      <c r="H733" s="298">
        <f t="shared" si="146"/>
        <v>10</v>
      </c>
      <c r="I733" s="298">
        <f t="shared" si="147"/>
        <v>4</v>
      </c>
      <c r="J733" s="298">
        <f t="shared" si="148"/>
        <v>14</v>
      </c>
      <c r="K733" s="299">
        <f t="shared" si="149"/>
        <v>266358</v>
      </c>
      <c r="R733" s="497">
        <f t="shared" si="140"/>
        <v>266358</v>
      </c>
    </row>
    <row r="734" spans="2:18">
      <c r="B734" s="604">
        <f t="shared" si="141"/>
        <v>2630</v>
      </c>
      <c r="C734" s="297">
        <f t="shared" si="139"/>
        <v>27</v>
      </c>
      <c r="D734" s="297">
        <f t="shared" si="142"/>
        <v>3</v>
      </c>
      <c r="E734" s="297">
        <f t="shared" si="143"/>
        <v>8</v>
      </c>
      <c r="F734" s="298">
        <f t="shared" si="144"/>
        <v>2</v>
      </c>
      <c r="G734" s="298">
        <f t="shared" si="145"/>
        <v>5</v>
      </c>
      <c r="H734" s="298">
        <f t="shared" si="146"/>
        <v>29</v>
      </c>
      <c r="I734" s="298">
        <f t="shared" si="147"/>
        <v>5</v>
      </c>
      <c r="J734" s="298">
        <f t="shared" si="148"/>
        <v>34</v>
      </c>
      <c r="K734" s="299">
        <f t="shared" si="149"/>
        <v>266743</v>
      </c>
      <c r="R734" s="497">
        <f t="shared" si="140"/>
        <v>266743</v>
      </c>
    </row>
    <row r="735" spans="2:18">
      <c r="B735" s="604">
        <f t="shared" si="141"/>
        <v>2631</v>
      </c>
      <c r="C735" s="297">
        <f t="shared" si="139"/>
        <v>27</v>
      </c>
      <c r="D735" s="297">
        <f t="shared" si="142"/>
        <v>3</v>
      </c>
      <c r="E735" s="297">
        <f t="shared" si="143"/>
        <v>9</v>
      </c>
      <c r="F735" s="298">
        <f t="shared" si="144"/>
        <v>3</v>
      </c>
      <c r="G735" s="298">
        <f t="shared" si="145"/>
        <v>6</v>
      </c>
      <c r="H735" s="298">
        <f t="shared" si="146"/>
        <v>18</v>
      </c>
      <c r="I735" s="298">
        <f t="shared" si="147"/>
        <v>1</v>
      </c>
      <c r="J735" s="298">
        <f t="shared" si="148"/>
        <v>19</v>
      </c>
      <c r="K735" s="299">
        <f t="shared" si="149"/>
        <v>267093</v>
      </c>
      <c r="R735" s="497">
        <f t="shared" si="140"/>
        <v>267093</v>
      </c>
    </row>
    <row r="736" spans="2:18">
      <c r="B736" s="604">
        <f t="shared" si="141"/>
        <v>2632</v>
      </c>
      <c r="C736" s="297">
        <f t="shared" si="139"/>
        <v>27</v>
      </c>
      <c r="D736" s="297">
        <f t="shared" si="142"/>
        <v>3</v>
      </c>
      <c r="E736" s="297">
        <f t="shared" si="143"/>
        <v>10</v>
      </c>
      <c r="F736" s="298">
        <f t="shared" si="144"/>
        <v>0</v>
      </c>
      <c r="G736" s="298">
        <f t="shared" si="145"/>
        <v>0</v>
      </c>
      <c r="H736" s="298">
        <f t="shared" si="146"/>
        <v>7</v>
      </c>
      <c r="I736" s="298">
        <f t="shared" si="147"/>
        <v>3</v>
      </c>
      <c r="J736" s="298">
        <f t="shared" si="148"/>
        <v>10</v>
      </c>
      <c r="K736" s="299">
        <f t="shared" si="149"/>
        <v>267450</v>
      </c>
      <c r="R736" s="497">
        <f t="shared" si="140"/>
        <v>267450</v>
      </c>
    </row>
    <row r="737" spans="2:18">
      <c r="B737" s="604">
        <f t="shared" si="141"/>
        <v>2633</v>
      </c>
      <c r="C737" s="297">
        <f t="shared" si="139"/>
        <v>27</v>
      </c>
      <c r="D737" s="297">
        <f t="shared" si="142"/>
        <v>3</v>
      </c>
      <c r="E737" s="297">
        <f t="shared" si="143"/>
        <v>11</v>
      </c>
      <c r="F737" s="298">
        <f t="shared" si="144"/>
        <v>1</v>
      </c>
      <c r="G737" s="298">
        <f t="shared" si="145"/>
        <v>1</v>
      </c>
      <c r="H737" s="298">
        <f t="shared" si="146"/>
        <v>26</v>
      </c>
      <c r="I737" s="298">
        <f t="shared" si="147"/>
        <v>4</v>
      </c>
      <c r="J737" s="298">
        <f t="shared" si="148"/>
        <v>30</v>
      </c>
      <c r="K737" s="299">
        <f t="shared" si="149"/>
        <v>267835</v>
      </c>
      <c r="R737" s="497">
        <f t="shared" si="140"/>
        <v>267835</v>
      </c>
    </row>
    <row r="738" spans="2:18">
      <c r="B738" s="604">
        <f t="shared" si="141"/>
        <v>2634</v>
      </c>
      <c r="C738" s="297">
        <f t="shared" si="139"/>
        <v>27</v>
      </c>
      <c r="D738" s="297">
        <f t="shared" si="142"/>
        <v>3</v>
      </c>
      <c r="E738" s="297">
        <f t="shared" si="143"/>
        <v>12</v>
      </c>
      <c r="F738" s="298">
        <f t="shared" si="144"/>
        <v>2</v>
      </c>
      <c r="G738" s="298">
        <f t="shared" si="145"/>
        <v>2</v>
      </c>
      <c r="H738" s="298">
        <f t="shared" si="146"/>
        <v>15</v>
      </c>
      <c r="I738" s="298">
        <f t="shared" si="147"/>
        <v>0</v>
      </c>
      <c r="J738" s="298">
        <f t="shared" si="148"/>
        <v>15</v>
      </c>
      <c r="K738" s="299">
        <f t="shared" si="149"/>
        <v>268185</v>
      </c>
      <c r="R738" s="497">
        <f t="shared" si="140"/>
        <v>268185</v>
      </c>
    </row>
    <row r="739" spans="2:18">
      <c r="B739" s="604">
        <f t="shared" si="141"/>
        <v>2635</v>
      </c>
      <c r="C739" s="297">
        <f t="shared" si="139"/>
        <v>27</v>
      </c>
      <c r="D739" s="297">
        <f t="shared" si="142"/>
        <v>3</v>
      </c>
      <c r="E739" s="297">
        <f t="shared" si="143"/>
        <v>13</v>
      </c>
      <c r="F739" s="298">
        <f t="shared" si="144"/>
        <v>3</v>
      </c>
      <c r="G739" s="298">
        <f t="shared" si="145"/>
        <v>3</v>
      </c>
      <c r="H739" s="298">
        <f t="shared" si="146"/>
        <v>4</v>
      </c>
      <c r="I739" s="298">
        <f t="shared" si="147"/>
        <v>3</v>
      </c>
      <c r="J739" s="298">
        <f t="shared" si="148"/>
        <v>7</v>
      </c>
      <c r="K739" s="299">
        <f t="shared" si="149"/>
        <v>268542</v>
      </c>
      <c r="R739" s="497">
        <f t="shared" si="140"/>
        <v>268542</v>
      </c>
    </row>
    <row r="740" spans="2:18">
      <c r="B740" s="604">
        <f t="shared" si="141"/>
        <v>2636</v>
      </c>
      <c r="C740" s="297">
        <f t="shared" si="139"/>
        <v>27</v>
      </c>
      <c r="D740" s="297">
        <f t="shared" si="142"/>
        <v>3</v>
      </c>
      <c r="E740" s="297">
        <f t="shared" si="143"/>
        <v>14</v>
      </c>
      <c r="F740" s="298">
        <f t="shared" si="144"/>
        <v>0</v>
      </c>
      <c r="G740" s="298">
        <f t="shared" si="145"/>
        <v>4</v>
      </c>
      <c r="H740" s="298">
        <f t="shared" si="146"/>
        <v>23</v>
      </c>
      <c r="I740" s="298">
        <f t="shared" si="147"/>
        <v>3</v>
      </c>
      <c r="J740" s="298">
        <f t="shared" si="148"/>
        <v>26</v>
      </c>
      <c r="K740" s="299">
        <f t="shared" si="149"/>
        <v>268927</v>
      </c>
      <c r="R740" s="497">
        <f t="shared" si="140"/>
        <v>268927</v>
      </c>
    </row>
    <row r="741" spans="2:18">
      <c r="B741" s="604">
        <f t="shared" si="141"/>
        <v>2637</v>
      </c>
      <c r="C741" s="297">
        <f t="shared" si="139"/>
        <v>27</v>
      </c>
      <c r="D741" s="297">
        <f t="shared" si="142"/>
        <v>3</v>
      </c>
      <c r="E741" s="297">
        <f t="shared" si="143"/>
        <v>15</v>
      </c>
      <c r="F741" s="298">
        <f t="shared" si="144"/>
        <v>1</v>
      </c>
      <c r="G741" s="298">
        <f t="shared" si="145"/>
        <v>5</v>
      </c>
      <c r="H741" s="298">
        <f t="shared" si="146"/>
        <v>12</v>
      </c>
      <c r="I741" s="298">
        <f t="shared" si="147"/>
        <v>6</v>
      </c>
      <c r="J741" s="298">
        <f t="shared" si="148"/>
        <v>18</v>
      </c>
      <c r="K741" s="299">
        <f t="shared" si="149"/>
        <v>269284</v>
      </c>
      <c r="R741" s="497">
        <f t="shared" si="140"/>
        <v>269284</v>
      </c>
    </row>
    <row r="742" spans="2:18">
      <c r="B742" s="604">
        <f t="shared" si="141"/>
        <v>2638</v>
      </c>
      <c r="C742" s="297">
        <f t="shared" si="139"/>
        <v>27</v>
      </c>
      <c r="D742" s="297">
        <f t="shared" si="142"/>
        <v>3</v>
      </c>
      <c r="E742" s="297">
        <f t="shared" si="143"/>
        <v>16</v>
      </c>
      <c r="F742" s="298">
        <f t="shared" si="144"/>
        <v>2</v>
      </c>
      <c r="G742" s="298">
        <f t="shared" si="145"/>
        <v>6</v>
      </c>
      <c r="H742" s="298">
        <f t="shared" si="146"/>
        <v>1</v>
      </c>
      <c r="I742" s="298">
        <f t="shared" si="147"/>
        <v>2</v>
      </c>
      <c r="J742" s="298">
        <f t="shared" si="148"/>
        <v>3</v>
      </c>
      <c r="K742" s="299">
        <f t="shared" si="149"/>
        <v>269634</v>
      </c>
      <c r="R742" s="497">
        <f t="shared" si="140"/>
        <v>269634</v>
      </c>
    </row>
    <row r="743" spans="2:18">
      <c r="B743" s="604">
        <f t="shared" si="141"/>
        <v>2639</v>
      </c>
      <c r="C743" s="297">
        <f t="shared" si="139"/>
        <v>27</v>
      </c>
      <c r="D743" s="297">
        <f t="shared" si="142"/>
        <v>3</v>
      </c>
      <c r="E743" s="297">
        <f t="shared" si="143"/>
        <v>17</v>
      </c>
      <c r="F743" s="298">
        <f t="shared" si="144"/>
        <v>3</v>
      </c>
      <c r="G743" s="298">
        <f t="shared" si="145"/>
        <v>0</v>
      </c>
      <c r="H743" s="298">
        <f t="shared" si="146"/>
        <v>20</v>
      </c>
      <c r="I743" s="298">
        <f t="shared" si="147"/>
        <v>3</v>
      </c>
      <c r="J743" s="298">
        <f t="shared" si="148"/>
        <v>23</v>
      </c>
      <c r="K743" s="299">
        <f t="shared" si="149"/>
        <v>270019</v>
      </c>
      <c r="R743" s="497">
        <f t="shared" si="140"/>
        <v>270019</v>
      </c>
    </row>
    <row r="744" spans="2:18">
      <c r="B744" s="604">
        <f t="shared" si="141"/>
        <v>2640</v>
      </c>
      <c r="C744" s="297">
        <f t="shared" si="139"/>
        <v>27</v>
      </c>
      <c r="D744" s="297">
        <f t="shared" si="142"/>
        <v>3</v>
      </c>
      <c r="E744" s="297">
        <f t="shared" si="143"/>
        <v>18</v>
      </c>
      <c r="F744" s="298">
        <f t="shared" si="144"/>
        <v>0</v>
      </c>
      <c r="G744" s="298">
        <f t="shared" si="145"/>
        <v>1</v>
      </c>
      <c r="H744" s="298">
        <f t="shared" si="146"/>
        <v>9</v>
      </c>
      <c r="I744" s="298">
        <f t="shared" si="147"/>
        <v>5</v>
      </c>
      <c r="J744" s="298">
        <f t="shared" si="148"/>
        <v>14</v>
      </c>
      <c r="K744" s="299">
        <f t="shared" si="149"/>
        <v>270376</v>
      </c>
      <c r="R744" s="497">
        <f t="shared" si="140"/>
        <v>270376</v>
      </c>
    </row>
    <row r="745" spans="2:18">
      <c r="B745" s="604">
        <f t="shared" si="141"/>
        <v>2641</v>
      </c>
      <c r="C745" s="297">
        <f t="shared" si="139"/>
        <v>27</v>
      </c>
      <c r="D745" s="297">
        <f t="shared" si="142"/>
        <v>3</v>
      </c>
      <c r="E745" s="297">
        <f t="shared" si="143"/>
        <v>0</v>
      </c>
      <c r="F745" s="298">
        <f t="shared" si="144"/>
        <v>1</v>
      </c>
      <c r="G745" s="298">
        <f t="shared" si="145"/>
        <v>2</v>
      </c>
      <c r="H745" s="298">
        <f t="shared" si="146"/>
        <v>27</v>
      </c>
      <c r="I745" s="298">
        <f t="shared" si="147"/>
        <v>0</v>
      </c>
      <c r="J745" s="298">
        <f t="shared" si="148"/>
        <v>27</v>
      </c>
      <c r="K745" s="299">
        <f t="shared" si="149"/>
        <v>270754</v>
      </c>
      <c r="R745" s="497">
        <f t="shared" si="140"/>
        <v>270754</v>
      </c>
    </row>
    <row r="746" spans="2:18">
      <c r="B746" s="604">
        <f t="shared" si="141"/>
        <v>2642</v>
      </c>
      <c r="C746" s="297">
        <f t="shared" si="139"/>
        <v>27</v>
      </c>
      <c r="D746" s="297">
        <f t="shared" si="142"/>
        <v>3</v>
      </c>
      <c r="E746" s="297">
        <f t="shared" si="143"/>
        <v>1</v>
      </c>
      <c r="F746" s="298">
        <f t="shared" si="144"/>
        <v>2</v>
      </c>
      <c r="G746" s="298">
        <f t="shared" si="145"/>
        <v>3</v>
      </c>
      <c r="H746" s="298">
        <f t="shared" si="146"/>
        <v>16</v>
      </c>
      <c r="I746" s="298">
        <f t="shared" si="147"/>
        <v>3</v>
      </c>
      <c r="J746" s="298">
        <f t="shared" si="148"/>
        <v>19</v>
      </c>
      <c r="K746" s="299">
        <f t="shared" si="149"/>
        <v>271111</v>
      </c>
      <c r="R746" s="497">
        <f t="shared" si="140"/>
        <v>271111</v>
      </c>
    </row>
    <row r="747" spans="2:18">
      <c r="B747" s="604">
        <f t="shared" si="141"/>
        <v>2643</v>
      </c>
      <c r="C747" s="297">
        <f t="shared" si="139"/>
        <v>27</v>
      </c>
      <c r="D747" s="297">
        <f t="shared" si="142"/>
        <v>3</v>
      </c>
      <c r="E747" s="297">
        <f t="shared" si="143"/>
        <v>2</v>
      </c>
      <c r="F747" s="298">
        <f t="shared" si="144"/>
        <v>3</v>
      </c>
      <c r="G747" s="298">
        <f t="shared" si="145"/>
        <v>4</v>
      </c>
      <c r="H747" s="298">
        <f t="shared" si="146"/>
        <v>5</v>
      </c>
      <c r="I747" s="298">
        <f t="shared" si="147"/>
        <v>6</v>
      </c>
      <c r="J747" s="298">
        <f t="shared" si="148"/>
        <v>11</v>
      </c>
      <c r="K747" s="299">
        <f t="shared" si="149"/>
        <v>271468</v>
      </c>
      <c r="R747" s="497">
        <f t="shared" si="140"/>
        <v>271468</v>
      </c>
    </row>
    <row r="748" spans="2:18">
      <c r="B748" s="604">
        <f t="shared" si="141"/>
        <v>2644</v>
      </c>
      <c r="C748" s="297">
        <f t="shared" si="139"/>
        <v>27</v>
      </c>
      <c r="D748" s="297">
        <f t="shared" si="142"/>
        <v>3</v>
      </c>
      <c r="E748" s="297">
        <f t="shared" si="143"/>
        <v>3</v>
      </c>
      <c r="F748" s="298">
        <f t="shared" si="144"/>
        <v>0</v>
      </c>
      <c r="G748" s="298">
        <f t="shared" si="145"/>
        <v>5</v>
      </c>
      <c r="H748" s="298">
        <f t="shared" si="146"/>
        <v>24</v>
      </c>
      <c r="I748" s="298">
        <f t="shared" si="147"/>
        <v>6</v>
      </c>
      <c r="J748" s="298">
        <f t="shared" si="148"/>
        <v>30</v>
      </c>
      <c r="K748" s="299">
        <f t="shared" si="149"/>
        <v>271853</v>
      </c>
      <c r="R748" s="497">
        <f t="shared" si="140"/>
        <v>271853</v>
      </c>
    </row>
    <row r="749" spans="2:18">
      <c r="B749" s="604">
        <f t="shared" si="141"/>
        <v>2645</v>
      </c>
      <c r="C749" s="297">
        <f t="shared" si="139"/>
        <v>27</v>
      </c>
      <c r="D749" s="297">
        <f t="shared" si="142"/>
        <v>3</v>
      </c>
      <c r="E749" s="297">
        <f t="shared" si="143"/>
        <v>4</v>
      </c>
      <c r="F749" s="298">
        <f t="shared" si="144"/>
        <v>1</v>
      </c>
      <c r="G749" s="298">
        <f t="shared" si="145"/>
        <v>6</v>
      </c>
      <c r="H749" s="298">
        <f t="shared" si="146"/>
        <v>13</v>
      </c>
      <c r="I749" s="298">
        <f t="shared" si="147"/>
        <v>2</v>
      </c>
      <c r="J749" s="298">
        <f t="shared" si="148"/>
        <v>15</v>
      </c>
      <c r="K749" s="299">
        <f t="shared" si="149"/>
        <v>272203</v>
      </c>
      <c r="R749" s="497">
        <f t="shared" si="140"/>
        <v>272203</v>
      </c>
    </row>
    <row r="750" spans="2:18">
      <c r="B750" s="604">
        <f t="shared" si="141"/>
        <v>2646</v>
      </c>
      <c r="C750" s="297">
        <f t="shared" si="139"/>
        <v>27</v>
      </c>
      <c r="D750" s="297">
        <f t="shared" si="142"/>
        <v>3</v>
      </c>
      <c r="E750" s="297">
        <f t="shared" si="143"/>
        <v>5</v>
      </c>
      <c r="F750" s="298">
        <f t="shared" si="144"/>
        <v>2</v>
      </c>
      <c r="G750" s="298">
        <f t="shared" si="145"/>
        <v>0</v>
      </c>
      <c r="H750" s="298">
        <f t="shared" si="146"/>
        <v>2</v>
      </c>
      <c r="I750" s="298">
        <f t="shared" si="147"/>
        <v>5</v>
      </c>
      <c r="J750" s="298">
        <f t="shared" si="148"/>
        <v>7</v>
      </c>
      <c r="K750" s="299">
        <f t="shared" si="149"/>
        <v>272560</v>
      </c>
      <c r="R750" s="497">
        <f t="shared" si="140"/>
        <v>272560</v>
      </c>
    </row>
    <row r="751" spans="2:18">
      <c r="B751" s="604">
        <f t="shared" si="141"/>
        <v>2647</v>
      </c>
      <c r="C751" s="297">
        <f t="shared" si="139"/>
        <v>27</v>
      </c>
      <c r="D751" s="297">
        <f t="shared" si="142"/>
        <v>3</v>
      </c>
      <c r="E751" s="297">
        <f t="shared" si="143"/>
        <v>6</v>
      </c>
      <c r="F751" s="298">
        <f t="shared" si="144"/>
        <v>3</v>
      </c>
      <c r="G751" s="298">
        <f t="shared" si="145"/>
        <v>1</v>
      </c>
      <c r="H751" s="298">
        <f t="shared" si="146"/>
        <v>21</v>
      </c>
      <c r="I751" s="298">
        <f t="shared" si="147"/>
        <v>6</v>
      </c>
      <c r="J751" s="298">
        <f t="shared" si="148"/>
        <v>27</v>
      </c>
      <c r="K751" s="299">
        <f t="shared" si="149"/>
        <v>272945</v>
      </c>
      <c r="R751" s="497">
        <f t="shared" si="140"/>
        <v>272945</v>
      </c>
    </row>
    <row r="752" spans="2:18">
      <c r="B752" s="604">
        <f t="shared" si="141"/>
        <v>2648</v>
      </c>
      <c r="C752" s="297">
        <f t="shared" si="139"/>
        <v>27</v>
      </c>
      <c r="D752" s="297">
        <f t="shared" si="142"/>
        <v>3</v>
      </c>
      <c r="E752" s="297">
        <f t="shared" si="143"/>
        <v>7</v>
      </c>
      <c r="F752" s="298">
        <f t="shared" si="144"/>
        <v>0</v>
      </c>
      <c r="G752" s="298">
        <f t="shared" si="145"/>
        <v>2</v>
      </c>
      <c r="H752" s="298">
        <f t="shared" si="146"/>
        <v>10</v>
      </c>
      <c r="I752" s="298">
        <f t="shared" si="147"/>
        <v>1</v>
      </c>
      <c r="J752" s="298">
        <f t="shared" si="148"/>
        <v>11</v>
      </c>
      <c r="K752" s="299">
        <f t="shared" si="149"/>
        <v>273295</v>
      </c>
      <c r="R752" s="497">
        <f t="shared" si="140"/>
        <v>273295</v>
      </c>
    </row>
    <row r="753" spans="2:18">
      <c r="B753" s="604">
        <f t="shared" si="141"/>
        <v>2649</v>
      </c>
      <c r="C753" s="297">
        <f t="shared" si="139"/>
        <v>27</v>
      </c>
      <c r="D753" s="297">
        <f t="shared" si="142"/>
        <v>3</v>
      </c>
      <c r="E753" s="297">
        <f t="shared" si="143"/>
        <v>8</v>
      </c>
      <c r="F753" s="298">
        <f t="shared" si="144"/>
        <v>1</v>
      </c>
      <c r="G753" s="298">
        <f t="shared" si="145"/>
        <v>3</v>
      </c>
      <c r="H753" s="298">
        <f t="shared" si="146"/>
        <v>29</v>
      </c>
      <c r="I753" s="298">
        <f t="shared" si="147"/>
        <v>2</v>
      </c>
      <c r="J753" s="298">
        <f t="shared" si="148"/>
        <v>31</v>
      </c>
      <c r="K753" s="299">
        <f t="shared" si="149"/>
        <v>273680</v>
      </c>
      <c r="R753" s="497">
        <f t="shared" si="140"/>
        <v>273680</v>
      </c>
    </row>
    <row r="754" spans="2:18">
      <c r="B754" s="604">
        <f t="shared" si="141"/>
        <v>2650</v>
      </c>
      <c r="C754" s="297">
        <f t="shared" si="139"/>
        <v>27</v>
      </c>
      <c r="D754" s="297">
        <f t="shared" si="142"/>
        <v>3</v>
      </c>
      <c r="E754" s="297">
        <f t="shared" si="143"/>
        <v>9</v>
      </c>
      <c r="F754" s="298">
        <f t="shared" si="144"/>
        <v>2</v>
      </c>
      <c r="G754" s="298">
        <f t="shared" si="145"/>
        <v>4</v>
      </c>
      <c r="H754" s="298">
        <f t="shared" si="146"/>
        <v>18</v>
      </c>
      <c r="I754" s="298">
        <f t="shared" si="147"/>
        <v>5</v>
      </c>
      <c r="J754" s="298">
        <f t="shared" si="148"/>
        <v>23</v>
      </c>
      <c r="K754" s="299">
        <f t="shared" si="149"/>
        <v>274037</v>
      </c>
      <c r="R754" s="497">
        <f t="shared" si="140"/>
        <v>274037</v>
      </c>
    </row>
    <row r="755" spans="2:18">
      <c r="B755" s="604">
        <f t="shared" si="141"/>
        <v>2651</v>
      </c>
      <c r="C755" s="297">
        <f t="shared" si="139"/>
        <v>27</v>
      </c>
      <c r="D755" s="297">
        <f t="shared" si="142"/>
        <v>3</v>
      </c>
      <c r="E755" s="297">
        <f t="shared" si="143"/>
        <v>10</v>
      </c>
      <c r="F755" s="298">
        <f t="shared" si="144"/>
        <v>3</v>
      </c>
      <c r="G755" s="298">
        <f t="shared" si="145"/>
        <v>5</v>
      </c>
      <c r="H755" s="298">
        <f t="shared" si="146"/>
        <v>7</v>
      </c>
      <c r="I755" s="298">
        <f t="shared" si="147"/>
        <v>1</v>
      </c>
      <c r="J755" s="298">
        <f t="shared" si="148"/>
        <v>8</v>
      </c>
      <c r="K755" s="299">
        <f t="shared" si="149"/>
        <v>274387</v>
      </c>
      <c r="R755" s="497">
        <f t="shared" si="140"/>
        <v>274387</v>
      </c>
    </row>
    <row r="756" spans="2:18">
      <c r="B756" s="604">
        <f t="shared" si="141"/>
        <v>2652</v>
      </c>
      <c r="C756" s="297">
        <f t="shared" si="139"/>
        <v>27</v>
      </c>
      <c r="D756" s="297">
        <f t="shared" si="142"/>
        <v>3</v>
      </c>
      <c r="E756" s="297">
        <f t="shared" si="143"/>
        <v>11</v>
      </c>
      <c r="F756" s="298">
        <f t="shared" si="144"/>
        <v>0</v>
      </c>
      <c r="G756" s="298">
        <f t="shared" si="145"/>
        <v>6</v>
      </c>
      <c r="H756" s="298">
        <f t="shared" si="146"/>
        <v>26</v>
      </c>
      <c r="I756" s="298">
        <f t="shared" si="147"/>
        <v>1</v>
      </c>
      <c r="J756" s="298">
        <f t="shared" si="148"/>
        <v>27</v>
      </c>
      <c r="K756" s="299">
        <f t="shared" si="149"/>
        <v>274772</v>
      </c>
      <c r="R756" s="497">
        <f t="shared" si="140"/>
        <v>274772</v>
      </c>
    </row>
    <row r="757" spans="2:18">
      <c r="B757" s="604">
        <f t="shared" si="141"/>
        <v>2653</v>
      </c>
      <c r="C757" s="297">
        <f t="shared" si="139"/>
        <v>27</v>
      </c>
      <c r="D757" s="297">
        <f t="shared" si="142"/>
        <v>3</v>
      </c>
      <c r="E757" s="297">
        <f t="shared" si="143"/>
        <v>12</v>
      </c>
      <c r="F757" s="298">
        <f t="shared" si="144"/>
        <v>1</v>
      </c>
      <c r="G757" s="298">
        <f t="shared" si="145"/>
        <v>0</v>
      </c>
      <c r="H757" s="298">
        <f t="shared" si="146"/>
        <v>15</v>
      </c>
      <c r="I757" s="298">
        <f t="shared" si="147"/>
        <v>4</v>
      </c>
      <c r="J757" s="298">
        <f t="shared" si="148"/>
        <v>19</v>
      </c>
      <c r="K757" s="299">
        <f t="shared" si="149"/>
        <v>275129</v>
      </c>
      <c r="R757" s="497">
        <f t="shared" si="140"/>
        <v>275129</v>
      </c>
    </row>
    <row r="758" spans="2:18">
      <c r="B758" s="604">
        <f t="shared" si="141"/>
        <v>2654</v>
      </c>
      <c r="C758" s="297">
        <f t="shared" si="139"/>
        <v>27</v>
      </c>
      <c r="D758" s="297">
        <f t="shared" si="142"/>
        <v>3</v>
      </c>
      <c r="E758" s="297">
        <f t="shared" si="143"/>
        <v>13</v>
      </c>
      <c r="F758" s="298">
        <f t="shared" si="144"/>
        <v>2</v>
      </c>
      <c r="G758" s="298">
        <f t="shared" si="145"/>
        <v>1</v>
      </c>
      <c r="H758" s="298">
        <f t="shared" si="146"/>
        <v>4</v>
      </c>
      <c r="I758" s="298">
        <f t="shared" si="147"/>
        <v>0</v>
      </c>
      <c r="J758" s="298">
        <f t="shared" si="148"/>
        <v>4</v>
      </c>
      <c r="K758" s="299">
        <f t="shared" si="149"/>
        <v>275479</v>
      </c>
      <c r="R758" s="497">
        <f t="shared" si="140"/>
        <v>275479</v>
      </c>
    </row>
    <row r="759" spans="2:18">
      <c r="B759" s="604">
        <f t="shared" si="141"/>
        <v>2655</v>
      </c>
      <c r="C759" s="297">
        <f t="shared" si="139"/>
        <v>27</v>
      </c>
      <c r="D759" s="297">
        <f t="shared" si="142"/>
        <v>3</v>
      </c>
      <c r="E759" s="297">
        <f t="shared" si="143"/>
        <v>14</v>
      </c>
      <c r="F759" s="298">
        <f t="shared" si="144"/>
        <v>3</v>
      </c>
      <c r="G759" s="298">
        <f t="shared" si="145"/>
        <v>2</v>
      </c>
      <c r="H759" s="298">
        <f t="shared" si="146"/>
        <v>23</v>
      </c>
      <c r="I759" s="298">
        <f t="shared" si="147"/>
        <v>1</v>
      </c>
      <c r="J759" s="298">
        <f t="shared" si="148"/>
        <v>24</v>
      </c>
      <c r="K759" s="299">
        <f t="shared" si="149"/>
        <v>275864</v>
      </c>
      <c r="R759" s="497">
        <f t="shared" si="140"/>
        <v>275864</v>
      </c>
    </row>
    <row r="760" spans="2:18">
      <c r="B760" s="604">
        <f t="shared" si="141"/>
        <v>2656</v>
      </c>
      <c r="C760" s="297">
        <f t="shared" si="139"/>
        <v>27</v>
      </c>
      <c r="D760" s="297">
        <f t="shared" si="142"/>
        <v>3</v>
      </c>
      <c r="E760" s="297">
        <f t="shared" si="143"/>
        <v>15</v>
      </c>
      <c r="F760" s="298">
        <f t="shared" si="144"/>
        <v>0</v>
      </c>
      <c r="G760" s="298">
        <f t="shared" si="145"/>
        <v>3</v>
      </c>
      <c r="H760" s="298">
        <f t="shared" si="146"/>
        <v>12</v>
      </c>
      <c r="I760" s="298">
        <f t="shared" si="147"/>
        <v>3</v>
      </c>
      <c r="J760" s="298">
        <f t="shared" si="148"/>
        <v>15</v>
      </c>
      <c r="K760" s="299">
        <f t="shared" si="149"/>
        <v>276221</v>
      </c>
      <c r="R760" s="497">
        <f t="shared" si="140"/>
        <v>276221</v>
      </c>
    </row>
    <row r="761" spans="2:18">
      <c r="B761" s="604">
        <f t="shared" si="141"/>
        <v>2657</v>
      </c>
      <c r="C761" s="297">
        <f t="shared" si="139"/>
        <v>27</v>
      </c>
      <c r="D761" s="297">
        <f t="shared" si="142"/>
        <v>3</v>
      </c>
      <c r="E761" s="297">
        <f t="shared" si="143"/>
        <v>16</v>
      </c>
      <c r="F761" s="298">
        <f t="shared" si="144"/>
        <v>1</v>
      </c>
      <c r="G761" s="298">
        <f t="shared" si="145"/>
        <v>4</v>
      </c>
      <c r="H761" s="298">
        <f t="shared" si="146"/>
        <v>1</v>
      </c>
      <c r="I761" s="298">
        <f t="shared" si="147"/>
        <v>6</v>
      </c>
      <c r="J761" s="298">
        <f t="shared" si="148"/>
        <v>7</v>
      </c>
      <c r="K761" s="299">
        <f t="shared" si="149"/>
        <v>276578</v>
      </c>
      <c r="R761" s="497">
        <f t="shared" si="140"/>
        <v>276578</v>
      </c>
    </row>
    <row r="762" spans="2:18">
      <c r="B762" s="604">
        <f t="shared" si="141"/>
        <v>2658</v>
      </c>
      <c r="C762" s="297">
        <f t="shared" si="139"/>
        <v>27</v>
      </c>
      <c r="D762" s="297">
        <f t="shared" si="142"/>
        <v>3</v>
      </c>
      <c r="E762" s="297">
        <f t="shared" si="143"/>
        <v>17</v>
      </c>
      <c r="F762" s="298">
        <f t="shared" si="144"/>
        <v>2</v>
      </c>
      <c r="G762" s="298">
        <f t="shared" si="145"/>
        <v>5</v>
      </c>
      <c r="H762" s="298">
        <f t="shared" si="146"/>
        <v>20</v>
      </c>
      <c r="I762" s="298">
        <f t="shared" si="147"/>
        <v>0</v>
      </c>
      <c r="J762" s="298">
        <f t="shared" si="148"/>
        <v>20</v>
      </c>
      <c r="K762" s="299">
        <f t="shared" si="149"/>
        <v>276956</v>
      </c>
      <c r="R762" s="497">
        <f t="shared" si="140"/>
        <v>276956</v>
      </c>
    </row>
    <row r="763" spans="2:18">
      <c r="B763" s="604">
        <f t="shared" si="141"/>
        <v>2659</v>
      </c>
      <c r="C763" s="297">
        <f t="shared" si="139"/>
        <v>27</v>
      </c>
      <c r="D763" s="297">
        <f t="shared" si="142"/>
        <v>3</v>
      </c>
      <c r="E763" s="297">
        <f t="shared" si="143"/>
        <v>18</v>
      </c>
      <c r="F763" s="298">
        <f t="shared" si="144"/>
        <v>3</v>
      </c>
      <c r="G763" s="298">
        <f t="shared" si="145"/>
        <v>6</v>
      </c>
      <c r="H763" s="298">
        <f t="shared" si="146"/>
        <v>9</v>
      </c>
      <c r="I763" s="298">
        <f t="shared" si="147"/>
        <v>3</v>
      </c>
      <c r="J763" s="298">
        <f t="shared" si="148"/>
        <v>12</v>
      </c>
      <c r="K763" s="299">
        <f t="shared" si="149"/>
        <v>277313</v>
      </c>
      <c r="R763" s="497">
        <f t="shared" si="140"/>
        <v>277313</v>
      </c>
    </row>
    <row r="764" spans="2:18">
      <c r="B764" s="604">
        <f t="shared" si="141"/>
        <v>2660</v>
      </c>
      <c r="C764" s="297">
        <f t="shared" si="139"/>
        <v>27</v>
      </c>
      <c r="D764" s="297">
        <f t="shared" si="142"/>
        <v>3</v>
      </c>
      <c r="E764" s="297">
        <f t="shared" si="143"/>
        <v>0</v>
      </c>
      <c r="F764" s="298">
        <f t="shared" si="144"/>
        <v>0</v>
      </c>
      <c r="G764" s="298">
        <f t="shared" si="145"/>
        <v>0</v>
      </c>
      <c r="H764" s="298">
        <f t="shared" si="146"/>
        <v>27</v>
      </c>
      <c r="I764" s="298">
        <f t="shared" si="147"/>
        <v>4</v>
      </c>
      <c r="J764" s="298">
        <f t="shared" si="148"/>
        <v>31</v>
      </c>
      <c r="K764" s="299">
        <f t="shared" si="149"/>
        <v>277698</v>
      </c>
      <c r="R764" s="497">
        <f t="shared" si="140"/>
        <v>277698</v>
      </c>
    </row>
    <row r="765" spans="2:18">
      <c r="B765" s="604">
        <f t="shared" si="141"/>
        <v>2661</v>
      </c>
      <c r="C765" s="297">
        <f t="shared" si="139"/>
        <v>27</v>
      </c>
      <c r="D765" s="297">
        <f t="shared" si="142"/>
        <v>3</v>
      </c>
      <c r="E765" s="297">
        <f t="shared" si="143"/>
        <v>1</v>
      </c>
      <c r="F765" s="298">
        <f t="shared" si="144"/>
        <v>1</v>
      </c>
      <c r="G765" s="298">
        <f t="shared" si="145"/>
        <v>1</v>
      </c>
      <c r="H765" s="298">
        <f t="shared" si="146"/>
        <v>16</v>
      </c>
      <c r="I765" s="298">
        <f t="shared" si="147"/>
        <v>0</v>
      </c>
      <c r="J765" s="298">
        <f t="shared" si="148"/>
        <v>16</v>
      </c>
      <c r="K765" s="299">
        <f t="shared" si="149"/>
        <v>278048</v>
      </c>
      <c r="R765" s="497">
        <f t="shared" si="140"/>
        <v>278048</v>
      </c>
    </row>
    <row r="766" spans="2:18">
      <c r="B766" s="604">
        <f t="shared" si="141"/>
        <v>2662</v>
      </c>
      <c r="C766" s="297">
        <f t="shared" si="139"/>
        <v>27</v>
      </c>
      <c r="D766" s="297">
        <f t="shared" si="142"/>
        <v>3</v>
      </c>
      <c r="E766" s="297">
        <f t="shared" si="143"/>
        <v>2</v>
      </c>
      <c r="F766" s="298">
        <f t="shared" si="144"/>
        <v>2</v>
      </c>
      <c r="G766" s="298">
        <f t="shared" si="145"/>
        <v>2</v>
      </c>
      <c r="H766" s="298">
        <f t="shared" si="146"/>
        <v>5</v>
      </c>
      <c r="I766" s="298">
        <f t="shared" si="147"/>
        <v>3</v>
      </c>
      <c r="J766" s="298">
        <f t="shared" si="148"/>
        <v>8</v>
      </c>
      <c r="K766" s="299">
        <f t="shared" si="149"/>
        <v>278405</v>
      </c>
      <c r="R766" s="497">
        <f t="shared" si="140"/>
        <v>278405</v>
      </c>
    </row>
    <row r="767" spans="2:18">
      <c r="B767" s="604">
        <f t="shared" si="141"/>
        <v>2663</v>
      </c>
      <c r="C767" s="297">
        <f t="shared" si="139"/>
        <v>27</v>
      </c>
      <c r="D767" s="297">
        <f t="shared" si="142"/>
        <v>3</v>
      </c>
      <c r="E767" s="297">
        <f t="shared" si="143"/>
        <v>3</v>
      </c>
      <c r="F767" s="298">
        <f t="shared" si="144"/>
        <v>3</v>
      </c>
      <c r="G767" s="298">
        <f t="shared" si="145"/>
        <v>3</v>
      </c>
      <c r="H767" s="298">
        <f t="shared" si="146"/>
        <v>24</v>
      </c>
      <c r="I767" s="298">
        <f t="shared" si="147"/>
        <v>4</v>
      </c>
      <c r="J767" s="298">
        <f t="shared" si="148"/>
        <v>28</v>
      </c>
      <c r="K767" s="299">
        <f t="shared" si="149"/>
        <v>278790</v>
      </c>
      <c r="R767" s="497">
        <f t="shared" si="140"/>
        <v>278790</v>
      </c>
    </row>
    <row r="768" spans="2:18">
      <c r="B768" s="604">
        <f t="shared" si="141"/>
        <v>2664</v>
      </c>
      <c r="C768" s="297">
        <f t="shared" si="139"/>
        <v>27</v>
      </c>
      <c r="D768" s="297">
        <f t="shared" si="142"/>
        <v>3</v>
      </c>
      <c r="E768" s="297">
        <f t="shared" si="143"/>
        <v>4</v>
      </c>
      <c r="F768" s="298">
        <f t="shared" si="144"/>
        <v>0</v>
      </c>
      <c r="G768" s="298">
        <f t="shared" si="145"/>
        <v>4</v>
      </c>
      <c r="H768" s="298">
        <f t="shared" si="146"/>
        <v>13</v>
      </c>
      <c r="I768" s="298">
        <f t="shared" si="147"/>
        <v>6</v>
      </c>
      <c r="J768" s="298">
        <f t="shared" si="148"/>
        <v>19</v>
      </c>
      <c r="K768" s="299">
        <f t="shared" si="149"/>
        <v>279147</v>
      </c>
      <c r="R768" s="497">
        <f t="shared" si="140"/>
        <v>279147</v>
      </c>
    </row>
    <row r="769" spans="2:18">
      <c r="B769" s="604">
        <f t="shared" si="141"/>
        <v>2665</v>
      </c>
      <c r="C769" s="297">
        <f t="shared" si="139"/>
        <v>27</v>
      </c>
      <c r="D769" s="297">
        <f t="shared" si="142"/>
        <v>3</v>
      </c>
      <c r="E769" s="297">
        <f t="shared" si="143"/>
        <v>5</v>
      </c>
      <c r="F769" s="298">
        <f t="shared" si="144"/>
        <v>1</v>
      </c>
      <c r="G769" s="298">
        <f t="shared" si="145"/>
        <v>5</v>
      </c>
      <c r="H769" s="298">
        <f t="shared" si="146"/>
        <v>2</v>
      </c>
      <c r="I769" s="298">
        <f t="shared" si="147"/>
        <v>2</v>
      </c>
      <c r="J769" s="298">
        <f t="shared" si="148"/>
        <v>4</v>
      </c>
      <c r="K769" s="299">
        <f t="shared" si="149"/>
        <v>279497</v>
      </c>
      <c r="R769" s="497">
        <f t="shared" si="140"/>
        <v>279497</v>
      </c>
    </row>
    <row r="770" spans="2:18">
      <c r="B770" s="604">
        <f t="shared" si="141"/>
        <v>2666</v>
      </c>
      <c r="C770" s="297">
        <f t="shared" si="139"/>
        <v>27</v>
      </c>
      <c r="D770" s="297">
        <f t="shared" si="142"/>
        <v>3</v>
      </c>
      <c r="E770" s="297">
        <f t="shared" si="143"/>
        <v>6</v>
      </c>
      <c r="F770" s="298">
        <f t="shared" si="144"/>
        <v>2</v>
      </c>
      <c r="G770" s="298">
        <f t="shared" si="145"/>
        <v>6</v>
      </c>
      <c r="H770" s="298">
        <f t="shared" si="146"/>
        <v>21</v>
      </c>
      <c r="I770" s="298">
        <f t="shared" si="147"/>
        <v>3</v>
      </c>
      <c r="J770" s="298">
        <f t="shared" si="148"/>
        <v>24</v>
      </c>
      <c r="K770" s="299">
        <f t="shared" si="149"/>
        <v>279882</v>
      </c>
      <c r="R770" s="497">
        <f t="shared" si="140"/>
        <v>279882</v>
      </c>
    </row>
    <row r="771" spans="2:18">
      <c r="B771" s="604">
        <f t="shared" si="141"/>
        <v>2667</v>
      </c>
      <c r="C771" s="297">
        <f t="shared" si="139"/>
        <v>27</v>
      </c>
      <c r="D771" s="297">
        <f t="shared" si="142"/>
        <v>3</v>
      </c>
      <c r="E771" s="297">
        <f t="shared" si="143"/>
        <v>7</v>
      </c>
      <c r="F771" s="298">
        <f t="shared" si="144"/>
        <v>3</v>
      </c>
      <c r="G771" s="298">
        <f t="shared" si="145"/>
        <v>0</v>
      </c>
      <c r="H771" s="298">
        <f t="shared" si="146"/>
        <v>10</v>
      </c>
      <c r="I771" s="298">
        <f t="shared" si="147"/>
        <v>6</v>
      </c>
      <c r="J771" s="298">
        <f t="shared" si="148"/>
        <v>16</v>
      </c>
      <c r="K771" s="299">
        <f t="shared" si="149"/>
        <v>280239</v>
      </c>
      <c r="R771" s="497">
        <f t="shared" si="140"/>
        <v>280239</v>
      </c>
    </row>
    <row r="772" spans="2:18">
      <c r="B772" s="604">
        <f t="shared" si="141"/>
        <v>2668</v>
      </c>
      <c r="C772" s="297">
        <f t="shared" si="139"/>
        <v>27</v>
      </c>
      <c r="D772" s="297">
        <f t="shared" si="142"/>
        <v>3</v>
      </c>
      <c r="E772" s="297">
        <f t="shared" si="143"/>
        <v>8</v>
      </c>
      <c r="F772" s="298">
        <f t="shared" si="144"/>
        <v>0</v>
      </c>
      <c r="G772" s="298">
        <f t="shared" si="145"/>
        <v>1</v>
      </c>
      <c r="H772" s="298">
        <f t="shared" si="146"/>
        <v>29</v>
      </c>
      <c r="I772" s="298">
        <f t="shared" si="147"/>
        <v>6</v>
      </c>
      <c r="J772" s="298">
        <f t="shared" si="148"/>
        <v>35</v>
      </c>
      <c r="K772" s="299">
        <f t="shared" si="149"/>
        <v>280617</v>
      </c>
      <c r="R772" s="497">
        <f t="shared" si="140"/>
        <v>280624</v>
      </c>
    </row>
    <row r="773" spans="2:18">
      <c r="B773" s="604">
        <f t="shared" si="141"/>
        <v>2669</v>
      </c>
      <c r="C773" s="297">
        <f t="shared" ref="C773:C836" si="150">VLOOKUP(B773,$M$4:$P$86,3,TRUE)</f>
        <v>27</v>
      </c>
      <c r="D773" s="297">
        <f t="shared" si="142"/>
        <v>3</v>
      </c>
      <c r="E773" s="297">
        <f t="shared" si="143"/>
        <v>9</v>
      </c>
      <c r="F773" s="298">
        <f t="shared" si="144"/>
        <v>1</v>
      </c>
      <c r="G773" s="298">
        <f t="shared" si="145"/>
        <v>2</v>
      </c>
      <c r="H773" s="298">
        <f t="shared" si="146"/>
        <v>18</v>
      </c>
      <c r="I773" s="298">
        <f t="shared" si="147"/>
        <v>2</v>
      </c>
      <c r="J773" s="298">
        <f t="shared" si="148"/>
        <v>20</v>
      </c>
      <c r="K773" s="299">
        <f t="shared" si="149"/>
        <v>280974</v>
      </c>
      <c r="R773" s="497">
        <f t="shared" ref="R773:R836" si="151">IF(MOD(19*MOD(B773,19)+C773,30)+MOD(2*MOD(B773,4)+4*MOD(B773,7)+6*MOD(19*MOD(B773,19)+C773,30)+D773,7)-9&lt;=0,DATE(B773,3,22+MOD(19*MOD(B773,19)+C773,30)+MOD(2*MOD(B773,4)+4*MOD(B773,7)+6*MOD(19*MOD(B773,19)+C773,30)+D773,7)),DATE(B773,4,MOD(19*MOD(B773,19)+C773,30)+MOD(2*MOD(B773,4)+4*MOD(B773,7)+6*MOD(19*MOD(B773,19)+C773,30)+D773,7)-9))</f>
        <v>280974</v>
      </c>
    </row>
    <row r="774" spans="2:18">
      <c r="B774" s="604">
        <f t="shared" ref="B774:B837" si="152">B773+1</f>
        <v>2670</v>
      </c>
      <c r="C774" s="297">
        <f t="shared" si="150"/>
        <v>27</v>
      </c>
      <c r="D774" s="297">
        <f t="shared" si="142"/>
        <v>3</v>
      </c>
      <c r="E774" s="297">
        <f t="shared" si="143"/>
        <v>10</v>
      </c>
      <c r="F774" s="298">
        <f t="shared" si="144"/>
        <v>2</v>
      </c>
      <c r="G774" s="298">
        <f t="shared" si="145"/>
        <v>3</v>
      </c>
      <c r="H774" s="298">
        <f t="shared" si="146"/>
        <v>7</v>
      </c>
      <c r="I774" s="298">
        <f t="shared" si="147"/>
        <v>5</v>
      </c>
      <c r="J774" s="298">
        <f t="shared" si="148"/>
        <v>12</v>
      </c>
      <c r="K774" s="299">
        <f t="shared" si="149"/>
        <v>281331</v>
      </c>
      <c r="R774" s="497">
        <f t="shared" si="151"/>
        <v>281331</v>
      </c>
    </row>
    <row r="775" spans="2:18">
      <c r="B775" s="604">
        <f t="shared" si="152"/>
        <v>2671</v>
      </c>
      <c r="C775" s="297">
        <f t="shared" si="150"/>
        <v>27</v>
      </c>
      <c r="D775" s="297">
        <f t="shared" si="142"/>
        <v>3</v>
      </c>
      <c r="E775" s="297">
        <f t="shared" si="143"/>
        <v>11</v>
      </c>
      <c r="F775" s="298">
        <f t="shared" si="144"/>
        <v>3</v>
      </c>
      <c r="G775" s="298">
        <f t="shared" si="145"/>
        <v>4</v>
      </c>
      <c r="H775" s="298">
        <f t="shared" si="146"/>
        <v>26</v>
      </c>
      <c r="I775" s="298">
        <f t="shared" si="147"/>
        <v>6</v>
      </c>
      <c r="J775" s="298">
        <f t="shared" si="148"/>
        <v>32</v>
      </c>
      <c r="K775" s="299">
        <f t="shared" si="149"/>
        <v>281716</v>
      </c>
      <c r="R775" s="497">
        <f t="shared" si="151"/>
        <v>281716</v>
      </c>
    </row>
    <row r="776" spans="2:18">
      <c r="B776" s="604">
        <f t="shared" si="152"/>
        <v>2672</v>
      </c>
      <c r="C776" s="297">
        <f t="shared" si="150"/>
        <v>27</v>
      </c>
      <c r="D776" s="297">
        <f t="shared" si="142"/>
        <v>3</v>
      </c>
      <c r="E776" s="297">
        <f t="shared" si="143"/>
        <v>12</v>
      </c>
      <c r="F776" s="298">
        <f t="shared" si="144"/>
        <v>0</v>
      </c>
      <c r="G776" s="298">
        <f t="shared" si="145"/>
        <v>5</v>
      </c>
      <c r="H776" s="298">
        <f t="shared" si="146"/>
        <v>15</v>
      </c>
      <c r="I776" s="298">
        <f t="shared" si="147"/>
        <v>1</v>
      </c>
      <c r="J776" s="298">
        <f t="shared" si="148"/>
        <v>16</v>
      </c>
      <c r="K776" s="299">
        <f t="shared" si="149"/>
        <v>282066</v>
      </c>
      <c r="R776" s="497">
        <f t="shared" si="151"/>
        <v>282066</v>
      </c>
    </row>
    <row r="777" spans="2:18">
      <c r="B777" s="604">
        <f t="shared" si="152"/>
        <v>2673</v>
      </c>
      <c r="C777" s="297">
        <f t="shared" si="150"/>
        <v>27</v>
      </c>
      <c r="D777" s="297">
        <f t="shared" si="142"/>
        <v>3</v>
      </c>
      <c r="E777" s="297">
        <f t="shared" si="143"/>
        <v>13</v>
      </c>
      <c r="F777" s="298">
        <f t="shared" si="144"/>
        <v>1</v>
      </c>
      <c r="G777" s="298">
        <f t="shared" si="145"/>
        <v>6</v>
      </c>
      <c r="H777" s="298">
        <f t="shared" si="146"/>
        <v>4</v>
      </c>
      <c r="I777" s="298">
        <f t="shared" si="147"/>
        <v>4</v>
      </c>
      <c r="J777" s="298">
        <f t="shared" si="148"/>
        <v>8</v>
      </c>
      <c r="K777" s="299">
        <f t="shared" si="149"/>
        <v>282423</v>
      </c>
      <c r="R777" s="497">
        <f t="shared" si="151"/>
        <v>282423</v>
      </c>
    </row>
    <row r="778" spans="2:18">
      <c r="B778" s="604">
        <f t="shared" si="152"/>
        <v>2674</v>
      </c>
      <c r="C778" s="297">
        <f t="shared" si="150"/>
        <v>27</v>
      </c>
      <c r="D778" s="297">
        <f t="shared" ref="D778:D841" si="153">VLOOKUP(B778,$M$4:$P$86,4,TRUE)</f>
        <v>3</v>
      </c>
      <c r="E778" s="297">
        <f t="shared" ref="E778:E841" si="154">MOD(B778,19)</f>
        <v>14</v>
      </c>
      <c r="F778" s="298">
        <f t="shared" ref="F778:F841" si="155">MOD(B778,4)</f>
        <v>2</v>
      </c>
      <c r="G778" s="298">
        <f t="shared" ref="G778:G841" si="156">MOD(B778,7)</f>
        <v>0</v>
      </c>
      <c r="H778" s="298">
        <f t="shared" ref="H778:H841" si="157">MOD(19*E778+C778,30)</f>
        <v>23</v>
      </c>
      <c r="I778" s="298">
        <f t="shared" ref="I778:I841" si="158">MOD(2*F778+4*G778+6*H778+D778,7)</f>
        <v>5</v>
      </c>
      <c r="J778" s="298">
        <f t="shared" ref="J778:J841" si="159">H778+I778</f>
        <v>28</v>
      </c>
      <c r="K778" s="299">
        <f t="shared" ref="K778:K841" si="160">IF(J778&lt;10,DATE(B778,3,J778+22),IF(J778-9=26,DATE(B778,4,19),IF(AND(J778-9=25,H778=28,I778=6,E778&gt;10),DATE(B778,4,18),DATE(B778,4,J778-9))))</f>
        <v>282808</v>
      </c>
      <c r="R778" s="497">
        <f t="shared" si="151"/>
        <v>282808</v>
      </c>
    </row>
    <row r="779" spans="2:18">
      <c r="B779" s="604">
        <f t="shared" si="152"/>
        <v>2675</v>
      </c>
      <c r="C779" s="297">
        <f t="shared" si="150"/>
        <v>27</v>
      </c>
      <c r="D779" s="297">
        <f t="shared" si="153"/>
        <v>3</v>
      </c>
      <c r="E779" s="297">
        <f t="shared" si="154"/>
        <v>15</v>
      </c>
      <c r="F779" s="298">
        <f t="shared" si="155"/>
        <v>3</v>
      </c>
      <c r="G779" s="298">
        <f t="shared" si="156"/>
        <v>1</v>
      </c>
      <c r="H779" s="298">
        <f t="shared" si="157"/>
        <v>12</v>
      </c>
      <c r="I779" s="298">
        <f t="shared" si="158"/>
        <v>1</v>
      </c>
      <c r="J779" s="298">
        <f t="shared" si="159"/>
        <v>13</v>
      </c>
      <c r="K779" s="299">
        <f t="shared" si="160"/>
        <v>283158</v>
      </c>
      <c r="R779" s="497">
        <f t="shared" si="151"/>
        <v>283158</v>
      </c>
    </row>
    <row r="780" spans="2:18">
      <c r="B780" s="604">
        <f t="shared" si="152"/>
        <v>2676</v>
      </c>
      <c r="C780" s="297">
        <f t="shared" si="150"/>
        <v>27</v>
      </c>
      <c r="D780" s="297">
        <f t="shared" si="153"/>
        <v>3</v>
      </c>
      <c r="E780" s="297">
        <f t="shared" si="154"/>
        <v>16</v>
      </c>
      <c r="F780" s="298">
        <f t="shared" si="155"/>
        <v>0</v>
      </c>
      <c r="G780" s="298">
        <f t="shared" si="156"/>
        <v>2</v>
      </c>
      <c r="H780" s="298">
        <f t="shared" si="157"/>
        <v>1</v>
      </c>
      <c r="I780" s="298">
        <f t="shared" si="158"/>
        <v>3</v>
      </c>
      <c r="J780" s="298">
        <f t="shared" si="159"/>
        <v>4</v>
      </c>
      <c r="K780" s="299">
        <f t="shared" si="160"/>
        <v>283515</v>
      </c>
      <c r="R780" s="497">
        <f t="shared" si="151"/>
        <v>283515</v>
      </c>
    </row>
    <row r="781" spans="2:18">
      <c r="B781" s="604">
        <f t="shared" si="152"/>
        <v>2677</v>
      </c>
      <c r="C781" s="297">
        <f t="shared" si="150"/>
        <v>27</v>
      </c>
      <c r="D781" s="297">
        <f t="shared" si="153"/>
        <v>3</v>
      </c>
      <c r="E781" s="297">
        <f t="shared" si="154"/>
        <v>17</v>
      </c>
      <c r="F781" s="298">
        <f t="shared" si="155"/>
        <v>1</v>
      </c>
      <c r="G781" s="298">
        <f t="shared" si="156"/>
        <v>3</v>
      </c>
      <c r="H781" s="298">
        <f t="shared" si="157"/>
        <v>20</v>
      </c>
      <c r="I781" s="298">
        <f t="shared" si="158"/>
        <v>4</v>
      </c>
      <c r="J781" s="298">
        <f t="shared" si="159"/>
        <v>24</v>
      </c>
      <c r="K781" s="299">
        <f t="shared" si="160"/>
        <v>283900</v>
      </c>
      <c r="R781" s="497">
        <f t="shared" si="151"/>
        <v>283900</v>
      </c>
    </row>
    <row r="782" spans="2:18">
      <c r="B782" s="604">
        <f t="shared" si="152"/>
        <v>2678</v>
      </c>
      <c r="C782" s="297">
        <f t="shared" si="150"/>
        <v>27</v>
      </c>
      <c r="D782" s="297">
        <f t="shared" si="153"/>
        <v>3</v>
      </c>
      <c r="E782" s="297">
        <f t="shared" si="154"/>
        <v>18</v>
      </c>
      <c r="F782" s="298">
        <f t="shared" si="155"/>
        <v>2</v>
      </c>
      <c r="G782" s="298">
        <f t="shared" si="156"/>
        <v>4</v>
      </c>
      <c r="H782" s="298">
        <f t="shared" si="157"/>
        <v>9</v>
      </c>
      <c r="I782" s="298">
        <f t="shared" si="158"/>
        <v>0</v>
      </c>
      <c r="J782" s="298">
        <f t="shared" si="159"/>
        <v>9</v>
      </c>
      <c r="K782" s="299">
        <f t="shared" si="160"/>
        <v>284250</v>
      </c>
      <c r="R782" s="497">
        <f t="shared" si="151"/>
        <v>284250</v>
      </c>
    </row>
    <row r="783" spans="2:18">
      <c r="B783" s="604">
        <f t="shared" si="152"/>
        <v>2679</v>
      </c>
      <c r="C783" s="297">
        <f t="shared" si="150"/>
        <v>27</v>
      </c>
      <c r="D783" s="297">
        <f t="shared" si="153"/>
        <v>3</v>
      </c>
      <c r="E783" s="297">
        <f t="shared" si="154"/>
        <v>0</v>
      </c>
      <c r="F783" s="298">
        <f t="shared" si="155"/>
        <v>3</v>
      </c>
      <c r="G783" s="298">
        <f t="shared" si="156"/>
        <v>5</v>
      </c>
      <c r="H783" s="298">
        <f t="shared" si="157"/>
        <v>27</v>
      </c>
      <c r="I783" s="298">
        <f t="shared" si="158"/>
        <v>2</v>
      </c>
      <c r="J783" s="298">
        <f t="shared" si="159"/>
        <v>29</v>
      </c>
      <c r="K783" s="299">
        <f t="shared" si="160"/>
        <v>284635</v>
      </c>
      <c r="R783" s="497">
        <f t="shared" si="151"/>
        <v>284635</v>
      </c>
    </row>
    <row r="784" spans="2:18">
      <c r="B784" s="604">
        <f t="shared" si="152"/>
        <v>2680</v>
      </c>
      <c r="C784" s="297">
        <f t="shared" si="150"/>
        <v>27</v>
      </c>
      <c r="D784" s="297">
        <f t="shared" si="153"/>
        <v>3</v>
      </c>
      <c r="E784" s="297">
        <f t="shared" si="154"/>
        <v>1</v>
      </c>
      <c r="F784" s="298">
        <f t="shared" si="155"/>
        <v>0</v>
      </c>
      <c r="G784" s="298">
        <f t="shared" si="156"/>
        <v>6</v>
      </c>
      <c r="H784" s="298">
        <f t="shared" si="157"/>
        <v>16</v>
      </c>
      <c r="I784" s="298">
        <f t="shared" si="158"/>
        <v>4</v>
      </c>
      <c r="J784" s="298">
        <f t="shared" si="159"/>
        <v>20</v>
      </c>
      <c r="K784" s="299">
        <f t="shared" si="160"/>
        <v>284992</v>
      </c>
      <c r="R784" s="497">
        <f t="shared" si="151"/>
        <v>284992</v>
      </c>
    </row>
    <row r="785" spans="2:18">
      <c r="B785" s="604">
        <f t="shared" si="152"/>
        <v>2681</v>
      </c>
      <c r="C785" s="297">
        <f t="shared" si="150"/>
        <v>27</v>
      </c>
      <c r="D785" s="297">
        <f t="shared" si="153"/>
        <v>3</v>
      </c>
      <c r="E785" s="297">
        <f t="shared" si="154"/>
        <v>2</v>
      </c>
      <c r="F785" s="298">
        <f t="shared" si="155"/>
        <v>1</v>
      </c>
      <c r="G785" s="298">
        <f t="shared" si="156"/>
        <v>0</v>
      </c>
      <c r="H785" s="298">
        <f t="shared" si="157"/>
        <v>5</v>
      </c>
      <c r="I785" s="298">
        <f t="shared" si="158"/>
        <v>0</v>
      </c>
      <c r="J785" s="298">
        <f t="shared" si="159"/>
        <v>5</v>
      </c>
      <c r="K785" s="299">
        <f t="shared" si="160"/>
        <v>285342</v>
      </c>
      <c r="R785" s="497">
        <f t="shared" si="151"/>
        <v>285342</v>
      </c>
    </row>
    <row r="786" spans="2:18">
      <c r="B786" s="604">
        <f t="shared" si="152"/>
        <v>2682</v>
      </c>
      <c r="C786" s="297">
        <f t="shared" si="150"/>
        <v>27</v>
      </c>
      <c r="D786" s="297">
        <f t="shared" si="153"/>
        <v>3</v>
      </c>
      <c r="E786" s="297">
        <f t="shared" si="154"/>
        <v>3</v>
      </c>
      <c r="F786" s="298">
        <f t="shared" si="155"/>
        <v>2</v>
      </c>
      <c r="G786" s="298">
        <f t="shared" si="156"/>
        <v>1</v>
      </c>
      <c r="H786" s="298">
        <f t="shared" si="157"/>
        <v>24</v>
      </c>
      <c r="I786" s="298">
        <f t="shared" si="158"/>
        <v>1</v>
      </c>
      <c r="J786" s="298">
        <f t="shared" si="159"/>
        <v>25</v>
      </c>
      <c r="K786" s="299">
        <f t="shared" si="160"/>
        <v>285727</v>
      </c>
      <c r="R786" s="497">
        <f t="shared" si="151"/>
        <v>285727</v>
      </c>
    </row>
    <row r="787" spans="2:18">
      <c r="B787" s="604">
        <f t="shared" si="152"/>
        <v>2683</v>
      </c>
      <c r="C787" s="297">
        <f t="shared" si="150"/>
        <v>27</v>
      </c>
      <c r="D787" s="297">
        <f t="shared" si="153"/>
        <v>3</v>
      </c>
      <c r="E787" s="297">
        <f t="shared" si="154"/>
        <v>4</v>
      </c>
      <c r="F787" s="298">
        <f t="shared" si="155"/>
        <v>3</v>
      </c>
      <c r="G787" s="298">
        <f t="shared" si="156"/>
        <v>2</v>
      </c>
      <c r="H787" s="298">
        <f t="shared" si="157"/>
        <v>13</v>
      </c>
      <c r="I787" s="298">
        <f t="shared" si="158"/>
        <v>4</v>
      </c>
      <c r="J787" s="298">
        <f t="shared" si="159"/>
        <v>17</v>
      </c>
      <c r="K787" s="299">
        <f t="shared" si="160"/>
        <v>286084</v>
      </c>
      <c r="R787" s="497">
        <f t="shared" si="151"/>
        <v>286084</v>
      </c>
    </row>
    <row r="788" spans="2:18">
      <c r="B788" s="604">
        <f t="shared" si="152"/>
        <v>2684</v>
      </c>
      <c r="C788" s="297">
        <f t="shared" si="150"/>
        <v>27</v>
      </c>
      <c r="D788" s="297">
        <f t="shared" si="153"/>
        <v>3</v>
      </c>
      <c r="E788" s="297">
        <f t="shared" si="154"/>
        <v>5</v>
      </c>
      <c r="F788" s="298">
        <f t="shared" si="155"/>
        <v>0</v>
      </c>
      <c r="G788" s="298">
        <f t="shared" si="156"/>
        <v>3</v>
      </c>
      <c r="H788" s="298">
        <f t="shared" si="157"/>
        <v>2</v>
      </c>
      <c r="I788" s="298">
        <f t="shared" si="158"/>
        <v>6</v>
      </c>
      <c r="J788" s="298">
        <f t="shared" si="159"/>
        <v>8</v>
      </c>
      <c r="K788" s="299">
        <f t="shared" si="160"/>
        <v>286441</v>
      </c>
      <c r="R788" s="497">
        <f t="shared" si="151"/>
        <v>286441</v>
      </c>
    </row>
    <row r="789" spans="2:18">
      <c r="B789" s="604">
        <f t="shared" si="152"/>
        <v>2685</v>
      </c>
      <c r="C789" s="297">
        <f t="shared" si="150"/>
        <v>27</v>
      </c>
      <c r="D789" s="297">
        <f t="shared" si="153"/>
        <v>3</v>
      </c>
      <c r="E789" s="297">
        <f t="shared" si="154"/>
        <v>6</v>
      </c>
      <c r="F789" s="298">
        <f t="shared" si="155"/>
        <v>1</v>
      </c>
      <c r="G789" s="298">
        <f t="shared" si="156"/>
        <v>4</v>
      </c>
      <c r="H789" s="298">
        <f t="shared" si="157"/>
        <v>21</v>
      </c>
      <c r="I789" s="298">
        <f t="shared" si="158"/>
        <v>0</v>
      </c>
      <c r="J789" s="298">
        <f t="shared" si="159"/>
        <v>21</v>
      </c>
      <c r="K789" s="299">
        <f t="shared" si="160"/>
        <v>286819</v>
      </c>
      <c r="R789" s="497">
        <f t="shared" si="151"/>
        <v>286819</v>
      </c>
    </row>
    <row r="790" spans="2:18">
      <c r="B790" s="604">
        <f t="shared" si="152"/>
        <v>2686</v>
      </c>
      <c r="C790" s="297">
        <f t="shared" si="150"/>
        <v>27</v>
      </c>
      <c r="D790" s="297">
        <f t="shared" si="153"/>
        <v>3</v>
      </c>
      <c r="E790" s="297">
        <f t="shared" si="154"/>
        <v>7</v>
      </c>
      <c r="F790" s="298">
        <f t="shared" si="155"/>
        <v>2</v>
      </c>
      <c r="G790" s="298">
        <f t="shared" si="156"/>
        <v>5</v>
      </c>
      <c r="H790" s="298">
        <f t="shared" si="157"/>
        <v>10</v>
      </c>
      <c r="I790" s="298">
        <f t="shared" si="158"/>
        <v>3</v>
      </c>
      <c r="J790" s="298">
        <f t="shared" si="159"/>
        <v>13</v>
      </c>
      <c r="K790" s="299">
        <f t="shared" si="160"/>
        <v>287176</v>
      </c>
      <c r="R790" s="497">
        <f t="shared" si="151"/>
        <v>287176</v>
      </c>
    </row>
    <row r="791" spans="2:18">
      <c r="B791" s="604">
        <f t="shared" si="152"/>
        <v>2687</v>
      </c>
      <c r="C791" s="297">
        <f t="shared" si="150"/>
        <v>27</v>
      </c>
      <c r="D791" s="297">
        <f t="shared" si="153"/>
        <v>3</v>
      </c>
      <c r="E791" s="297">
        <f t="shared" si="154"/>
        <v>8</v>
      </c>
      <c r="F791" s="298">
        <f t="shared" si="155"/>
        <v>3</v>
      </c>
      <c r="G791" s="298">
        <f t="shared" si="156"/>
        <v>6</v>
      </c>
      <c r="H791" s="298">
        <f t="shared" si="157"/>
        <v>29</v>
      </c>
      <c r="I791" s="298">
        <f t="shared" si="158"/>
        <v>4</v>
      </c>
      <c r="J791" s="298">
        <f t="shared" si="159"/>
        <v>33</v>
      </c>
      <c r="K791" s="299">
        <f t="shared" si="160"/>
        <v>287561</v>
      </c>
      <c r="R791" s="497">
        <f t="shared" si="151"/>
        <v>287561</v>
      </c>
    </row>
    <row r="792" spans="2:18">
      <c r="B792" s="604">
        <f t="shared" si="152"/>
        <v>2688</v>
      </c>
      <c r="C792" s="297">
        <f t="shared" si="150"/>
        <v>27</v>
      </c>
      <c r="D792" s="297">
        <f t="shared" si="153"/>
        <v>3</v>
      </c>
      <c r="E792" s="297">
        <f t="shared" si="154"/>
        <v>9</v>
      </c>
      <c r="F792" s="298">
        <f t="shared" si="155"/>
        <v>0</v>
      </c>
      <c r="G792" s="298">
        <f t="shared" si="156"/>
        <v>0</v>
      </c>
      <c r="H792" s="298">
        <f t="shared" si="157"/>
        <v>18</v>
      </c>
      <c r="I792" s="298">
        <f t="shared" si="158"/>
        <v>6</v>
      </c>
      <c r="J792" s="298">
        <f t="shared" si="159"/>
        <v>24</v>
      </c>
      <c r="K792" s="299">
        <f t="shared" si="160"/>
        <v>287918</v>
      </c>
      <c r="R792" s="497">
        <f t="shared" si="151"/>
        <v>287918</v>
      </c>
    </row>
    <row r="793" spans="2:18">
      <c r="B793" s="604">
        <f t="shared" si="152"/>
        <v>2689</v>
      </c>
      <c r="C793" s="297">
        <f t="shared" si="150"/>
        <v>27</v>
      </c>
      <c r="D793" s="297">
        <f t="shared" si="153"/>
        <v>3</v>
      </c>
      <c r="E793" s="297">
        <f t="shared" si="154"/>
        <v>10</v>
      </c>
      <c r="F793" s="298">
        <f t="shared" si="155"/>
        <v>1</v>
      </c>
      <c r="G793" s="298">
        <f t="shared" si="156"/>
        <v>1</v>
      </c>
      <c r="H793" s="298">
        <f t="shared" si="157"/>
        <v>7</v>
      </c>
      <c r="I793" s="298">
        <f t="shared" si="158"/>
        <v>2</v>
      </c>
      <c r="J793" s="298">
        <f t="shared" si="159"/>
        <v>9</v>
      </c>
      <c r="K793" s="299">
        <f t="shared" si="160"/>
        <v>288268</v>
      </c>
      <c r="R793" s="497">
        <f t="shared" si="151"/>
        <v>288268</v>
      </c>
    </row>
    <row r="794" spans="2:18">
      <c r="B794" s="604">
        <f t="shared" si="152"/>
        <v>2690</v>
      </c>
      <c r="C794" s="297">
        <f t="shared" si="150"/>
        <v>27</v>
      </c>
      <c r="D794" s="297">
        <f t="shared" si="153"/>
        <v>3</v>
      </c>
      <c r="E794" s="297">
        <f t="shared" si="154"/>
        <v>11</v>
      </c>
      <c r="F794" s="298">
        <f t="shared" si="155"/>
        <v>2</v>
      </c>
      <c r="G794" s="298">
        <f t="shared" si="156"/>
        <v>2</v>
      </c>
      <c r="H794" s="298">
        <f t="shared" si="157"/>
        <v>26</v>
      </c>
      <c r="I794" s="298">
        <f t="shared" si="158"/>
        <v>3</v>
      </c>
      <c r="J794" s="298">
        <f t="shared" si="159"/>
        <v>29</v>
      </c>
      <c r="K794" s="299">
        <f t="shared" si="160"/>
        <v>288653</v>
      </c>
      <c r="R794" s="497">
        <f t="shared" si="151"/>
        <v>288653</v>
      </c>
    </row>
    <row r="795" spans="2:18">
      <c r="B795" s="604">
        <f t="shared" si="152"/>
        <v>2691</v>
      </c>
      <c r="C795" s="297">
        <f t="shared" si="150"/>
        <v>27</v>
      </c>
      <c r="D795" s="297">
        <f t="shared" si="153"/>
        <v>3</v>
      </c>
      <c r="E795" s="297">
        <f t="shared" si="154"/>
        <v>12</v>
      </c>
      <c r="F795" s="298">
        <f t="shared" si="155"/>
        <v>3</v>
      </c>
      <c r="G795" s="298">
        <f t="shared" si="156"/>
        <v>3</v>
      </c>
      <c r="H795" s="298">
        <f t="shared" si="157"/>
        <v>15</v>
      </c>
      <c r="I795" s="298">
        <f t="shared" si="158"/>
        <v>6</v>
      </c>
      <c r="J795" s="298">
        <f t="shared" si="159"/>
        <v>21</v>
      </c>
      <c r="K795" s="299">
        <f t="shared" si="160"/>
        <v>289010</v>
      </c>
      <c r="R795" s="497">
        <f t="shared" si="151"/>
        <v>289010</v>
      </c>
    </row>
    <row r="796" spans="2:18">
      <c r="B796" s="604">
        <f t="shared" si="152"/>
        <v>2692</v>
      </c>
      <c r="C796" s="297">
        <f t="shared" si="150"/>
        <v>27</v>
      </c>
      <c r="D796" s="297">
        <f t="shared" si="153"/>
        <v>3</v>
      </c>
      <c r="E796" s="297">
        <f t="shared" si="154"/>
        <v>13</v>
      </c>
      <c r="F796" s="298">
        <f t="shared" si="155"/>
        <v>0</v>
      </c>
      <c r="G796" s="298">
        <f t="shared" si="156"/>
        <v>4</v>
      </c>
      <c r="H796" s="298">
        <f t="shared" si="157"/>
        <v>4</v>
      </c>
      <c r="I796" s="298">
        <f t="shared" si="158"/>
        <v>1</v>
      </c>
      <c r="J796" s="298">
        <f t="shared" si="159"/>
        <v>5</v>
      </c>
      <c r="K796" s="299">
        <f t="shared" si="160"/>
        <v>289360</v>
      </c>
      <c r="R796" s="497">
        <f t="shared" si="151"/>
        <v>289360</v>
      </c>
    </row>
    <row r="797" spans="2:18">
      <c r="B797" s="604">
        <f t="shared" si="152"/>
        <v>2693</v>
      </c>
      <c r="C797" s="297">
        <f t="shared" si="150"/>
        <v>27</v>
      </c>
      <c r="D797" s="297">
        <f t="shared" si="153"/>
        <v>3</v>
      </c>
      <c r="E797" s="297">
        <f t="shared" si="154"/>
        <v>14</v>
      </c>
      <c r="F797" s="298">
        <f t="shared" si="155"/>
        <v>1</v>
      </c>
      <c r="G797" s="298">
        <f t="shared" si="156"/>
        <v>5</v>
      </c>
      <c r="H797" s="298">
        <f t="shared" si="157"/>
        <v>23</v>
      </c>
      <c r="I797" s="298">
        <f t="shared" si="158"/>
        <v>2</v>
      </c>
      <c r="J797" s="298">
        <f t="shared" si="159"/>
        <v>25</v>
      </c>
      <c r="K797" s="299">
        <f t="shared" si="160"/>
        <v>289745</v>
      </c>
      <c r="R797" s="497">
        <f t="shared" si="151"/>
        <v>289745</v>
      </c>
    </row>
    <row r="798" spans="2:18">
      <c r="B798" s="604">
        <f t="shared" si="152"/>
        <v>2694</v>
      </c>
      <c r="C798" s="297">
        <f t="shared" si="150"/>
        <v>27</v>
      </c>
      <c r="D798" s="297">
        <f t="shared" si="153"/>
        <v>3</v>
      </c>
      <c r="E798" s="297">
        <f t="shared" si="154"/>
        <v>15</v>
      </c>
      <c r="F798" s="298">
        <f t="shared" si="155"/>
        <v>2</v>
      </c>
      <c r="G798" s="298">
        <f t="shared" si="156"/>
        <v>6</v>
      </c>
      <c r="H798" s="298">
        <f t="shared" si="157"/>
        <v>12</v>
      </c>
      <c r="I798" s="298">
        <f t="shared" si="158"/>
        <v>5</v>
      </c>
      <c r="J798" s="298">
        <f t="shared" si="159"/>
        <v>17</v>
      </c>
      <c r="K798" s="299">
        <f t="shared" si="160"/>
        <v>290102</v>
      </c>
      <c r="R798" s="497">
        <f t="shared" si="151"/>
        <v>290102</v>
      </c>
    </row>
    <row r="799" spans="2:18">
      <c r="B799" s="604">
        <f t="shared" si="152"/>
        <v>2695</v>
      </c>
      <c r="C799" s="297">
        <f t="shared" si="150"/>
        <v>27</v>
      </c>
      <c r="D799" s="297">
        <f t="shared" si="153"/>
        <v>3</v>
      </c>
      <c r="E799" s="297">
        <f t="shared" si="154"/>
        <v>16</v>
      </c>
      <c r="F799" s="298">
        <f t="shared" si="155"/>
        <v>3</v>
      </c>
      <c r="G799" s="298">
        <f t="shared" si="156"/>
        <v>0</v>
      </c>
      <c r="H799" s="298">
        <f t="shared" si="157"/>
        <v>1</v>
      </c>
      <c r="I799" s="298">
        <f t="shared" si="158"/>
        <v>1</v>
      </c>
      <c r="J799" s="298">
        <f t="shared" si="159"/>
        <v>2</v>
      </c>
      <c r="K799" s="299">
        <f t="shared" si="160"/>
        <v>290452</v>
      </c>
      <c r="R799" s="497">
        <f t="shared" si="151"/>
        <v>290452</v>
      </c>
    </row>
    <row r="800" spans="2:18">
      <c r="B800" s="604">
        <f t="shared" si="152"/>
        <v>2696</v>
      </c>
      <c r="C800" s="297">
        <f t="shared" si="150"/>
        <v>27</v>
      </c>
      <c r="D800" s="297">
        <f t="shared" si="153"/>
        <v>3</v>
      </c>
      <c r="E800" s="297">
        <f t="shared" si="154"/>
        <v>17</v>
      </c>
      <c r="F800" s="298">
        <f t="shared" si="155"/>
        <v>0</v>
      </c>
      <c r="G800" s="298">
        <f t="shared" si="156"/>
        <v>1</v>
      </c>
      <c r="H800" s="298">
        <f t="shared" si="157"/>
        <v>20</v>
      </c>
      <c r="I800" s="298">
        <f t="shared" si="158"/>
        <v>1</v>
      </c>
      <c r="J800" s="298">
        <f t="shared" si="159"/>
        <v>21</v>
      </c>
      <c r="K800" s="299">
        <f t="shared" si="160"/>
        <v>290837</v>
      </c>
      <c r="R800" s="497">
        <f t="shared" si="151"/>
        <v>290837</v>
      </c>
    </row>
    <row r="801" spans="2:18">
      <c r="B801" s="604">
        <f t="shared" si="152"/>
        <v>2697</v>
      </c>
      <c r="C801" s="297">
        <f t="shared" si="150"/>
        <v>27</v>
      </c>
      <c r="D801" s="297">
        <f t="shared" si="153"/>
        <v>3</v>
      </c>
      <c r="E801" s="297">
        <f t="shared" si="154"/>
        <v>18</v>
      </c>
      <c r="F801" s="298">
        <f t="shared" si="155"/>
        <v>1</v>
      </c>
      <c r="G801" s="298">
        <f t="shared" si="156"/>
        <v>2</v>
      </c>
      <c r="H801" s="298">
        <f t="shared" si="157"/>
        <v>9</v>
      </c>
      <c r="I801" s="298">
        <f t="shared" si="158"/>
        <v>4</v>
      </c>
      <c r="J801" s="298">
        <f t="shared" si="159"/>
        <v>13</v>
      </c>
      <c r="K801" s="299">
        <f t="shared" si="160"/>
        <v>291194</v>
      </c>
      <c r="R801" s="497">
        <f t="shared" si="151"/>
        <v>291194</v>
      </c>
    </row>
    <row r="802" spans="2:18">
      <c r="B802" s="604">
        <f t="shared" si="152"/>
        <v>2698</v>
      </c>
      <c r="C802" s="297">
        <f t="shared" si="150"/>
        <v>27</v>
      </c>
      <c r="D802" s="297">
        <f t="shared" si="153"/>
        <v>3</v>
      </c>
      <c r="E802" s="297">
        <f t="shared" si="154"/>
        <v>0</v>
      </c>
      <c r="F802" s="298">
        <f t="shared" si="155"/>
        <v>2</v>
      </c>
      <c r="G802" s="298">
        <f t="shared" si="156"/>
        <v>3</v>
      </c>
      <c r="H802" s="298">
        <f t="shared" si="157"/>
        <v>27</v>
      </c>
      <c r="I802" s="298">
        <f t="shared" si="158"/>
        <v>6</v>
      </c>
      <c r="J802" s="298">
        <f t="shared" si="159"/>
        <v>33</v>
      </c>
      <c r="K802" s="299">
        <f t="shared" si="160"/>
        <v>291579</v>
      </c>
      <c r="R802" s="497">
        <f t="shared" si="151"/>
        <v>291579</v>
      </c>
    </row>
    <row r="803" spans="2:18">
      <c r="B803" s="604">
        <f t="shared" si="152"/>
        <v>2699</v>
      </c>
      <c r="C803" s="297">
        <f t="shared" si="150"/>
        <v>27</v>
      </c>
      <c r="D803" s="297">
        <f t="shared" si="153"/>
        <v>3</v>
      </c>
      <c r="E803" s="297">
        <f t="shared" si="154"/>
        <v>1</v>
      </c>
      <c r="F803" s="298">
        <f t="shared" si="155"/>
        <v>3</v>
      </c>
      <c r="G803" s="298">
        <f t="shared" si="156"/>
        <v>4</v>
      </c>
      <c r="H803" s="298">
        <f t="shared" si="157"/>
        <v>16</v>
      </c>
      <c r="I803" s="298">
        <f t="shared" si="158"/>
        <v>2</v>
      </c>
      <c r="J803" s="298">
        <f t="shared" si="159"/>
        <v>18</v>
      </c>
      <c r="K803" s="299">
        <f t="shared" si="160"/>
        <v>291929</v>
      </c>
      <c r="R803" s="497">
        <f t="shared" si="151"/>
        <v>291929</v>
      </c>
    </row>
    <row r="804" spans="2:18">
      <c r="B804" s="604">
        <f t="shared" si="152"/>
        <v>2700</v>
      </c>
      <c r="C804" s="297">
        <f t="shared" si="150"/>
        <v>27</v>
      </c>
      <c r="D804" s="297">
        <f t="shared" si="153"/>
        <v>4</v>
      </c>
      <c r="E804" s="297">
        <f t="shared" si="154"/>
        <v>2</v>
      </c>
      <c r="F804" s="298">
        <f t="shared" si="155"/>
        <v>0</v>
      </c>
      <c r="G804" s="298">
        <f t="shared" si="156"/>
        <v>5</v>
      </c>
      <c r="H804" s="298">
        <f t="shared" si="157"/>
        <v>5</v>
      </c>
      <c r="I804" s="298">
        <f t="shared" si="158"/>
        <v>5</v>
      </c>
      <c r="J804" s="298">
        <f t="shared" si="159"/>
        <v>10</v>
      </c>
      <c r="K804" s="299">
        <f t="shared" si="160"/>
        <v>292286</v>
      </c>
      <c r="R804" s="497">
        <f t="shared" si="151"/>
        <v>292286</v>
      </c>
    </row>
    <row r="805" spans="2:18">
      <c r="B805" s="604">
        <f t="shared" si="152"/>
        <v>2701</v>
      </c>
      <c r="C805" s="297">
        <f t="shared" si="150"/>
        <v>27</v>
      </c>
      <c r="D805" s="297">
        <f t="shared" si="153"/>
        <v>4</v>
      </c>
      <c r="E805" s="297">
        <f t="shared" si="154"/>
        <v>3</v>
      </c>
      <c r="F805" s="298">
        <f t="shared" si="155"/>
        <v>1</v>
      </c>
      <c r="G805" s="298">
        <f t="shared" si="156"/>
        <v>6</v>
      </c>
      <c r="H805" s="298">
        <f t="shared" si="157"/>
        <v>24</v>
      </c>
      <c r="I805" s="298">
        <f t="shared" si="158"/>
        <v>6</v>
      </c>
      <c r="J805" s="298">
        <f t="shared" si="159"/>
        <v>30</v>
      </c>
      <c r="K805" s="299">
        <f t="shared" si="160"/>
        <v>292671</v>
      </c>
      <c r="R805" s="497">
        <f t="shared" si="151"/>
        <v>292671</v>
      </c>
    </row>
    <row r="806" spans="2:18">
      <c r="B806" s="604">
        <f t="shared" si="152"/>
        <v>2702</v>
      </c>
      <c r="C806" s="297">
        <f t="shared" si="150"/>
        <v>27</v>
      </c>
      <c r="D806" s="297">
        <f t="shared" si="153"/>
        <v>4</v>
      </c>
      <c r="E806" s="297">
        <f t="shared" si="154"/>
        <v>4</v>
      </c>
      <c r="F806" s="298">
        <f t="shared" si="155"/>
        <v>2</v>
      </c>
      <c r="G806" s="298">
        <f t="shared" si="156"/>
        <v>0</v>
      </c>
      <c r="H806" s="298">
        <f t="shared" si="157"/>
        <v>13</v>
      </c>
      <c r="I806" s="298">
        <f t="shared" si="158"/>
        <v>2</v>
      </c>
      <c r="J806" s="298">
        <f t="shared" si="159"/>
        <v>15</v>
      </c>
      <c r="K806" s="299">
        <f t="shared" si="160"/>
        <v>293021</v>
      </c>
      <c r="R806" s="497">
        <f t="shared" si="151"/>
        <v>293021</v>
      </c>
    </row>
    <row r="807" spans="2:18">
      <c r="B807" s="604">
        <f t="shared" si="152"/>
        <v>2703</v>
      </c>
      <c r="C807" s="297">
        <f t="shared" si="150"/>
        <v>27</v>
      </c>
      <c r="D807" s="297">
        <f t="shared" si="153"/>
        <v>4</v>
      </c>
      <c r="E807" s="297">
        <f t="shared" si="154"/>
        <v>5</v>
      </c>
      <c r="F807" s="298">
        <f t="shared" si="155"/>
        <v>3</v>
      </c>
      <c r="G807" s="298">
        <f t="shared" si="156"/>
        <v>1</v>
      </c>
      <c r="H807" s="298">
        <f t="shared" si="157"/>
        <v>2</v>
      </c>
      <c r="I807" s="298">
        <f t="shared" si="158"/>
        <v>5</v>
      </c>
      <c r="J807" s="298">
        <f t="shared" si="159"/>
        <v>7</v>
      </c>
      <c r="K807" s="299">
        <f t="shared" si="160"/>
        <v>293378</v>
      </c>
      <c r="R807" s="497">
        <f t="shared" si="151"/>
        <v>293378</v>
      </c>
    </row>
    <row r="808" spans="2:18">
      <c r="B808" s="604">
        <f t="shared" si="152"/>
        <v>2704</v>
      </c>
      <c r="C808" s="297">
        <f t="shared" si="150"/>
        <v>27</v>
      </c>
      <c r="D808" s="297">
        <f t="shared" si="153"/>
        <v>4</v>
      </c>
      <c r="E808" s="297">
        <f t="shared" si="154"/>
        <v>6</v>
      </c>
      <c r="F808" s="298">
        <f t="shared" si="155"/>
        <v>0</v>
      </c>
      <c r="G808" s="298">
        <f t="shared" si="156"/>
        <v>2</v>
      </c>
      <c r="H808" s="298">
        <f t="shared" si="157"/>
        <v>21</v>
      </c>
      <c r="I808" s="298">
        <f t="shared" si="158"/>
        <v>5</v>
      </c>
      <c r="J808" s="298">
        <f t="shared" si="159"/>
        <v>26</v>
      </c>
      <c r="K808" s="299">
        <f t="shared" si="160"/>
        <v>293763</v>
      </c>
      <c r="R808" s="497">
        <f t="shared" si="151"/>
        <v>293763</v>
      </c>
    </row>
    <row r="809" spans="2:18">
      <c r="B809" s="604">
        <f t="shared" si="152"/>
        <v>2705</v>
      </c>
      <c r="C809" s="297">
        <f t="shared" si="150"/>
        <v>27</v>
      </c>
      <c r="D809" s="297">
        <f t="shared" si="153"/>
        <v>4</v>
      </c>
      <c r="E809" s="297">
        <f t="shared" si="154"/>
        <v>7</v>
      </c>
      <c r="F809" s="298">
        <f t="shared" si="155"/>
        <v>1</v>
      </c>
      <c r="G809" s="298">
        <f t="shared" si="156"/>
        <v>3</v>
      </c>
      <c r="H809" s="298">
        <f t="shared" si="157"/>
        <v>10</v>
      </c>
      <c r="I809" s="298">
        <f t="shared" si="158"/>
        <v>1</v>
      </c>
      <c r="J809" s="298">
        <f t="shared" si="159"/>
        <v>11</v>
      </c>
      <c r="K809" s="299">
        <f t="shared" si="160"/>
        <v>294113</v>
      </c>
      <c r="R809" s="497">
        <f t="shared" si="151"/>
        <v>294113</v>
      </c>
    </row>
    <row r="810" spans="2:18">
      <c r="B810" s="604">
        <f t="shared" si="152"/>
        <v>2706</v>
      </c>
      <c r="C810" s="297">
        <f t="shared" si="150"/>
        <v>27</v>
      </c>
      <c r="D810" s="297">
        <f t="shared" si="153"/>
        <v>4</v>
      </c>
      <c r="E810" s="297">
        <f t="shared" si="154"/>
        <v>8</v>
      </c>
      <c r="F810" s="298">
        <f t="shared" si="155"/>
        <v>2</v>
      </c>
      <c r="G810" s="298">
        <f t="shared" si="156"/>
        <v>4</v>
      </c>
      <c r="H810" s="298">
        <f t="shared" si="157"/>
        <v>29</v>
      </c>
      <c r="I810" s="298">
        <f t="shared" si="158"/>
        <v>2</v>
      </c>
      <c r="J810" s="298">
        <f t="shared" si="159"/>
        <v>31</v>
      </c>
      <c r="K810" s="299">
        <f t="shared" si="160"/>
        <v>294498</v>
      </c>
      <c r="R810" s="497">
        <f t="shared" si="151"/>
        <v>294498</v>
      </c>
    </row>
    <row r="811" spans="2:18">
      <c r="B811" s="604">
        <f t="shared" si="152"/>
        <v>2707</v>
      </c>
      <c r="C811" s="297">
        <f t="shared" si="150"/>
        <v>27</v>
      </c>
      <c r="D811" s="297">
        <f t="shared" si="153"/>
        <v>4</v>
      </c>
      <c r="E811" s="297">
        <f t="shared" si="154"/>
        <v>9</v>
      </c>
      <c r="F811" s="298">
        <f t="shared" si="155"/>
        <v>3</v>
      </c>
      <c r="G811" s="298">
        <f t="shared" si="156"/>
        <v>5</v>
      </c>
      <c r="H811" s="298">
        <f t="shared" si="157"/>
        <v>18</v>
      </c>
      <c r="I811" s="298">
        <f t="shared" si="158"/>
        <v>5</v>
      </c>
      <c r="J811" s="298">
        <f t="shared" si="159"/>
        <v>23</v>
      </c>
      <c r="K811" s="299">
        <f t="shared" si="160"/>
        <v>294855</v>
      </c>
      <c r="R811" s="497">
        <f t="shared" si="151"/>
        <v>294855</v>
      </c>
    </row>
    <row r="812" spans="2:18">
      <c r="B812" s="604">
        <f t="shared" si="152"/>
        <v>2708</v>
      </c>
      <c r="C812" s="297">
        <f t="shared" si="150"/>
        <v>27</v>
      </c>
      <c r="D812" s="297">
        <f t="shared" si="153"/>
        <v>4</v>
      </c>
      <c r="E812" s="297">
        <f t="shared" si="154"/>
        <v>10</v>
      </c>
      <c r="F812" s="298">
        <f t="shared" si="155"/>
        <v>0</v>
      </c>
      <c r="G812" s="298">
        <f t="shared" si="156"/>
        <v>6</v>
      </c>
      <c r="H812" s="298">
        <f t="shared" si="157"/>
        <v>7</v>
      </c>
      <c r="I812" s="298">
        <f t="shared" si="158"/>
        <v>0</v>
      </c>
      <c r="J812" s="298">
        <f t="shared" si="159"/>
        <v>7</v>
      </c>
      <c r="K812" s="299">
        <f t="shared" si="160"/>
        <v>295205</v>
      </c>
      <c r="R812" s="497">
        <f t="shared" si="151"/>
        <v>295205</v>
      </c>
    </row>
    <row r="813" spans="2:18">
      <c r="B813" s="604">
        <f t="shared" si="152"/>
        <v>2709</v>
      </c>
      <c r="C813" s="297">
        <f t="shared" si="150"/>
        <v>27</v>
      </c>
      <c r="D813" s="297">
        <f t="shared" si="153"/>
        <v>4</v>
      </c>
      <c r="E813" s="297">
        <f t="shared" si="154"/>
        <v>11</v>
      </c>
      <c r="F813" s="298">
        <f t="shared" si="155"/>
        <v>1</v>
      </c>
      <c r="G813" s="298">
        <f t="shared" si="156"/>
        <v>0</v>
      </c>
      <c r="H813" s="298">
        <f t="shared" si="157"/>
        <v>26</v>
      </c>
      <c r="I813" s="298">
        <f t="shared" si="158"/>
        <v>1</v>
      </c>
      <c r="J813" s="298">
        <f t="shared" si="159"/>
        <v>27</v>
      </c>
      <c r="K813" s="299">
        <f t="shared" si="160"/>
        <v>295590</v>
      </c>
      <c r="R813" s="497">
        <f t="shared" si="151"/>
        <v>295590</v>
      </c>
    </row>
    <row r="814" spans="2:18">
      <c r="B814" s="604">
        <f t="shared" si="152"/>
        <v>2710</v>
      </c>
      <c r="C814" s="297">
        <f t="shared" si="150"/>
        <v>27</v>
      </c>
      <c r="D814" s="297">
        <f t="shared" si="153"/>
        <v>4</v>
      </c>
      <c r="E814" s="297">
        <f t="shared" si="154"/>
        <v>12</v>
      </c>
      <c r="F814" s="298">
        <f t="shared" si="155"/>
        <v>2</v>
      </c>
      <c r="G814" s="298">
        <f t="shared" si="156"/>
        <v>1</v>
      </c>
      <c r="H814" s="298">
        <f t="shared" si="157"/>
        <v>15</v>
      </c>
      <c r="I814" s="298">
        <f t="shared" si="158"/>
        <v>4</v>
      </c>
      <c r="J814" s="298">
        <f t="shared" si="159"/>
        <v>19</v>
      </c>
      <c r="K814" s="299">
        <f t="shared" si="160"/>
        <v>295947</v>
      </c>
      <c r="R814" s="497">
        <f t="shared" si="151"/>
        <v>295947</v>
      </c>
    </row>
    <row r="815" spans="2:18">
      <c r="B815" s="604">
        <f t="shared" si="152"/>
        <v>2711</v>
      </c>
      <c r="C815" s="297">
        <f t="shared" si="150"/>
        <v>27</v>
      </c>
      <c r="D815" s="297">
        <f t="shared" si="153"/>
        <v>4</v>
      </c>
      <c r="E815" s="297">
        <f t="shared" si="154"/>
        <v>13</v>
      </c>
      <c r="F815" s="298">
        <f t="shared" si="155"/>
        <v>3</v>
      </c>
      <c r="G815" s="298">
        <f t="shared" si="156"/>
        <v>2</v>
      </c>
      <c r="H815" s="298">
        <f t="shared" si="157"/>
        <v>4</v>
      </c>
      <c r="I815" s="298">
        <f t="shared" si="158"/>
        <v>0</v>
      </c>
      <c r="J815" s="298">
        <f t="shared" si="159"/>
        <v>4</v>
      </c>
      <c r="K815" s="299">
        <f t="shared" si="160"/>
        <v>296297</v>
      </c>
      <c r="R815" s="497">
        <f t="shared" si="151"/>
        <v>296297</v>
      </c>
    </row>
    <row r="816" spans="2:18">
      <c r="B816" s="604">
        <f t="shared" si="152"/>
        <v>2712</v>
      </c>
      <c r="C816" s="297">
        <f t="shared" si="150"/>
        <v>27</v>
      </c>
      <c r="D816" s="297">
        <f t="shared" si="153"/>
        <v>4</v>
      </c>
      <c r="E816" s="297">
        <f t="shared" si="154"/>
        <v>14</v>
      </c>
      <c r="F816" s="298">
        <f t="shared" si="155"/>
        <v>0</v>
      </c>
      <c r="G816" s="298">
        <f t="shared" si="156"/>
        <v>3</v>
      </c>
      <c r="H816" s="298">
        <f t="shared" si="157"/>
        <v>23</v>
      </c>
      <c r="I816" s="298">
        <f t="shared" si="158"/>
        <v>0</v>
      </c>
      <c r="J816" s="298">
        <f t="shared" si="159"/>
        <v>23</v>
      </c>
      <c r="K816" s="299">
        <f t="shared" si="160"/>
        <v>296682</v>
      </c>
      <c r="R816" s="497">
        <f t="shared" si="151"/>
        <v>296682</v>
      </c>
    </row>
    <row r="817" spans="2:18">
      <c r="B817" s="604">
        <f t="shared" si="152"/>
        <v>2713</v>
      </c>
      <c r="C817" s="297">
        <f t="shared" si="150"/>
        <v>27</v>
      </c>
      <c r="D817" s="297">
        <f t="shared" si="153"/>
        <v>4</v>
      </c>
      <c r="E817" s="297">
        <f t="shared" si="154"/>
        <v>15</v>
      </c>
      <c r="F817" s="298">
        <f t="shared" si="155"/>
        <v>1</v>
      </c>
      <c r="G817" s="298">
        <f t="shared" si="156"/>
        <v>4</v>
      </c>
      <c r="H817" s="298">
        <f t="shared" si="157"/>
        <v>12</v>
      </c>
      <c r="I817" s="298">
        <f t="shared" si="158"/>
        <v>3</v>
      </c>
      <c r="J817" s="298">
        <f t="shared" si="159"/>
        <v>15</v>
      </c>
      <c r="K817" s="299">
        <f t="shared" si="160"/>
        <v>297039</v>
      </c>
      <c r="R817" s="497">
        <f t="shared" si="151"/>
        <v>297039</v>
      </c>
    </row>
    <row r="818" spans="2:18">
      <c r="B818" s="604">
        <f t="shared" si="152"/>
        <v>2714</v>
      </c>
      <c r="C818" s="297">
        <f t="shared" si="150"/>
        <v>27</v>
      </c>
      <c r="D818" s="297">
        <f t="shared" si="153"/>
        <v>4</v>
      </c>
      <c r="E818" s="297">
        <f t="shared" si="154"/>
        <v>16</v>
      </c>
      <c r="F818" s="298">
        <f t="shared" si="155"/>
        <v>2</v>
      </c>
      <c r="G818" s="298">
        <f t="shared" si="156"/>
        <v>5</v>
      </c>
      <c r="H818" s="298">
        <f t="shared" si="157"/>
        <v>1</v>
      </c>
      <c r="I818" s="298">
        <f t="shared" si="158"/>
        <v>6</v>
      </c>
      <c r="J818" s="298">
        <f t="shared" si="159"/>
        <v>7</v>
      </c>
      <c r="K818" s="299">
        <f t="shared" si="160"/>
        <v>297396</v>
      </c>
      <c r="R818" s="497">
        <f t="shared" si="151"/>
        <v>297396</v>
      </c>
    </row>
    <row r="819" spans="2:18">
      <c r="B819" s="604">
        <f t="shared" si="152"/>
        <v>2715</v>
      </c>
      <c r="C819" s="297">
        <f t="shared" si="150"/>
        <v>27</v>
      </c>
      <c r="D819" s="297">
        <f t="shared" si="153"/>
        <v>4</v>
      </c>
      <c r="E819" s="297">
        <f t="shared" si="154"/>
        <v>17</v>
      </c>
      <c r="F819" s="298">
        <f t="shared" si="155"/>
        <v>3</v>
      </c>
      <c r="G819" s="298">
        <f t="shared" si="156"/>
        <v>6</v>
      </c>
      <c r="H819" s="298">
        <f t="shared" si="157"/>
        <v>20</v>
      </c>
      <c r="I819" s="298">
        <f t="shared" si="158"/>
        <v>0</v>
      </c>
      <c r="J819" s="298">
        <f t="shared" si="159"/>
        <v>20</v>
      </c>
      <c r="K819" s="299">
        <f t="shared" si="160"/>
        <v>297774</v>
      </c>
      <c r="R819" s="497">
        <f t="shared" si="151"/>
        <v>297774</v>
      </c>
    </row>
    <row r="820" spans="2:18">
      <c r="B820" s="604">
        <f t="shared" si="152"/>
        <v>2716</v>
      </c>
      <c r="C820" s="297">
        <f t="shared" si="150"/>
        <v>27</v>
      </c>
      <c r="D820" s="297">
        <f t="shared" si="153"/>
        <v>4</v>
      </c>
      <c r="E820" s="297">
        <f t="shared" si="154"/>
        <v>18</v>
      </c>
      <c r="F820" s="298">
        <f t="shared" si="155"/>
        <v>0</v>
      </c>
      <c r="G820" s="298">
        <f t="shared" si="156"/>
        <v>0</v>
      </c>
      <c r="H820" s="298">
        <f t="shared" si="157"/>
        <v>9</v>
      </c>
      <c r="I820" s="298">
        <f t="shared" si="158"/>
        <v>2</v>
      </c>
      <c r="J820" s="298">
        <f t="shared" si="159"/>
        <v>11</v>
      </c>
      <c r="K820" s="299">
        <f t="shared" si="160"/>
        <v>298131</v>
      </c>
      <c r="R820" s="497">
        <f t="shared" si="151"/>
        <v>298131</v>
      </c>
    </row>
    <row r="821" spans="2:18">
      <c r="B821" s="604">
        <f t="shared" si="152"/>
        <v>2717</v>
      </c>
      <c r="C821" s="297">
        <f t="shared" si="150"/>
        <v>27</v>
      </c>
      <c r="D821" s="297">
        <f t="shared" si="153"/>
        <v>4</v>
      </c>
      <c r="E821" s="297">
        <f t="shared" si="154"/>
        <v>0</v>
      </c>
      <c r="F821" s="298">
        <f t="shared" si="155"/>
        <v>1</v>
      </c>
      <c r="G821" s="298">
        <f t="shared" si="156"/>
        <v>1</v>
      </c>
      <c r="H821" s="298">
        <f t="shared" si="157"/>
        <v>27</v>
      </c>
      <c r="I821" s="298">
        <f t="shared" si="158"/>
        <v>4</v>
      </c>
      <c r="J821" s="298">
        <f t="shared" si="159"/>
        <v>31</v>
      </c>
      <c r="K821" s="299">
        <f t="shared" si="160"/>
        <v>298516</v>
      </c>
      <c r="R821" s="497">
        <f t="shared" si="151"/>
        <v>298516</v>
      </c>
    </row>
    <row r="822" spans="2:18">
      <c r="B822" s="604">
        <f t="shared" si="152"/>
        <v>2718</v>
      </c>
      <c r="C822" s="297">
        <f t="shared" si="150"/>
        <v>27</v>
      </c>
      <c r="D822" s="297">
        <f t="shared" si="153"/>
        <v>4</v>
      </c>
      <c r="E822" s="297">
        <f t="shared" si="154"/>
        <v>1</v>
      </c>
      <c r="F822" s="298">
        <f t="shared" si="155"/>
        <v>2</v>
      </c>
      <c r="G822" s="298">
        <f t="shared" si="156"/>
        <v>2</v>
      </c>
      <c r="H822" s="298">
        <f t="shared" si="157"/>
        <v>16</v>
      </c>
      <c r="I822" s="298">
        <f t="shared" si="158"/>
        <v>0</v>
      </c>
      <c r="J822" s="298">
        <f t="shared" si="159"/>
        <v>16</v>
      </c>
      <c r="K822" s="299">
        <f t="shared" si="160"/>
        <v>298866</v>
      </c>
      <c r="R822" s="497">
        <f t="shared" si="151"/>
        <v>298866</v>
      </c>
    </row>
    <row r="823" spans="2:18">
      <c r="B823" s="604">
        <f t="shared" si="152"/>
        <v>2719</v>
      </c>
      <c r="C823" s="297">
        <f t="shared" si="150"/>
        <v>27</v>
      </c>
      <c r="D823" s="297">
        <f t="shared" si="153"/>
        <v>4</v>
      </c>
      <c r="E823" s="297">
        <f t="shared" si="154"/>
        <v>2</v>
      </c>
      <c r="F823" s="298">
        <f t="shared" si="155"/>
        <v>3</v>
      </c>
      <c r="G823" s="298">
        <f t="shared" si="156"/>
        <v>3</v>
      </c>
      <c r="H823" s="298">
        <f t="shared" si="157"/>
        <v>5</v>
      </c>
      <c r="I823" s="298">
        <f t="shared" si="158"/>
        <v>3</v>
      </c>
      <c r="J823" s="298">
        <f t="shared" si="159"/>
        <v>8</v>
      </c>
      <c r="K823" s="299">
        <f t="shared" si="160"/>
        <v>299223</v>
      </c>
      <c r="R823" s="497">
        <f t="shared" si="151"/>
        <v>299223</v>
      </c>
    </row>
    <row r="824" spans="2:18">
      <c r="B824" s="604">
        <f t="shared" si="152"/>
        <v>2720</v>
      </c>
      <c r="C824" s="297">
        <f t="shared" si="150"/>
        <v>27</v>
      </c>
      <c r="D824" s="297">
        <f t="shared" si="153"/>
        <v>4</v>
      </c>
      <c r="E824" s="297">
        <f t="shared" si="154"/>
        <v>3</v>
      </c>
      <c r="F824" s="298">
        <f t="shared" si="155"/>
        <v>0</v>
      </c>
      <c r="G824" s="298">
        <f t="shared" si="156"/>
        <v>4</v>
      </c>
      <c r="H824" s="298">
        <f t="shared" si="157"/>
        <v>24</v>
      </c>
      <c r="I824" s="298">
        <f t="shared" si="158"/>
        <v>3</v>
      </c>
      <c r="J824" s="298">
        <f t="shared" si="159"/>
        <v>27</v>
      </c>
      <c r="K824" s="299">
        <f t="shared" si="160"/>
        <v>299608</v>
      </c>
      <c r="R824" s="497">
        <f t="shared" si="151"/>
        <v>299608</v>
      </c>
    </row>
    <row r="825" spans="2:18">
      <c r="B825" s="604">
        <f t="shared" si="152"/>
        <v>2721</v>
      </c>
      <c r="C825" s="297">
        <f t="shared" si="150"/>
        <v>27</v>
      </c>
      <c r="D825" s="297">
        <f t="shared" si="153"/>
        <v>4</v>
      </c>
      <c r="E825" s="297">
        <f t="shared" si="154"/>
        <v>4</v>
      </c>
      <c r="F825" s="298">
        <f t="shared" si="155"/>
        <v>1</v>
      </c>
      <c r="G825" s="298">
        <f t="shared" si="156"/>
        <v>5</v>
      </c>
      <c r="H825" s="298">
        <f t="shared" si="157"/>
        <v>13</v>
      </c>
      <c r="I825" s="298">
        <f t="shared" si="158"/>
        <v>6</v>
      </c>
      <c r="J825" s="298">
        <f t="shared" si="159"/>
        <v>19</v>
      </c>
      <c r="K825" s="299">
        <f t="shared" si="160"/>
        <v>299965</v>
      </c>
      <c r="R825" s="497">
        <f t="shared" si="151"/>
        <v>299965</v>
      </c>
    </row>
    <row r="826" spans="2:18">
      <c r="B826" s="604">
        <f t="shared" si="152"/>
        <v>2722</v>
      </c>
      <c r="C826" s="297">
        <f t="shared" si="150"/>
        <v>27</v>
      </c>
      <c r="D826" s="297">
        <f t="shared" si="153"/>
        <v>4</v>
      </c>
      <c r="E826" s="297">
        <f t="shared" si="154"/>
        <v>5</v>
      </c>
      <c r="F826" s="298">
        <f t="shared" si="155"/>
        <v>2</v>
      </c>
      <c r="G826" s="298">
        <f t="shared" si="156"/>
        <v>6</v>
      </c>
      <c r="H826" s="298">
        <f t="shared" si="157"/>
        <v>2</v>
      </c>
      <c r="I826" s="298">
        <f t="shared" si="158"/>
        <v>2</v>
      </c>
      <c r="J826" s="298">
        <f t="shared" si="159"/>
        <v>4</v>
      </c>
      <c r="K826" s="299">
        <f t="shared" si="160"/>
        <v>300315</v>
      </c>
      <c r="R826" s="497">
        <f t="shared" si="151"/>
        <v>300315</v>
      </c>
    </row>
    <row r="827" spans="2:18">
      <c r="B827" s="604">
        <f t="shared" si="152"/>
        <v>2723</v>
      </c>
      <c r="C827" s="297">
        <f t="shared" si="150"/>
        <v>27</v>
      </c>
      <c r="D827" s="297">
        <f t="shared" si="153"/>
        <v>4</v>
      </c>
      <c r="E827" s="297">
        <f t="shared" si="154"/>
        <v>6</v>
      </c>
      <c r="F827" s="298">
        <f t="shared" si="155"/>
        <v>3</v>
      </c>
      <c r="G827" s="298">
        <f t="shared" si="156"/>
        <v>0</v>
      </c>
      <c r="H827" s="298">
        <f t="shared" si="157"/>
        <v>21</v>
      </c>
      <c r="I827" s="298">
        <f t="shared" si="158"/>
        <v>3</v>
      </c>
      <c r="J827" s="298">
        <f t="shared" si="159"/>
        <v>24</v>
      </c>
      <c r="K827" s="299">
        <f t="shared" si="160"/>
        <v>300700</v>
      </c>
      <c r="R827" s="497">
        <f t="shared" si="151"/>
        <v>300700</v>
      </c>
    </row>
    <row r="828" spans="2:18">
      <c r="B828" s="604">
        <f t="shared" si="152"/>
        <v>2724</v>
      </c>
      <c r="C828" s="297">
        <f t="shared" si="150"/>
        <v>27</v>
      </c>
      <c r="D828" s="297">
        <f t="shared" si="153"/>
        <v>4</v>
      </c>
      <c r="E828" s="297">
        <f t="shared" si="154"/>
        <v>7</v>
      </c>
      <c r="F828" s="298">
        <f t="shared" si="155"/>
        <v>0</v>
      </c>
      <c r="G828" s="298">
        <f t="shared" si="156"/>
        <v>1</v>
      </c>
      <c r="H828" s="298">
        <f t="shared" si="157"/>
        <v>10</v>
      </c>
      <c r="I828" s="298">
        <f t="shared" si="158"/>
        <v>5</v>
      </c>
      <c r="J828" s="298">
        <f t="shared" si="159"/>
        <v>15</v>
      </c>
      <c r="K828" s="299">
        <f t="shared" si="160"/>
        <v>301057</v>
      </c>
      <c r="R828" s="497">
        <f t="shared" si="151"/>
        <v>301057</v>
      </c>
    </row>
    <row r="829" spans="2:18">
      <c r="B829" s="604">
        <f t="shared" si="152"/>
        <v>2725</v>
      </c>
      <c r="C829" s="297">
        <f t="shared" si="150"/>
        <v>27</v>
      </c>
      <c r="D829" s="297">
        <f t="shared" si="153"/>
        <v>4</v>
      </c>
      <c r="E829" s="297">
        <f t="shared" si="154"/>
        <v>8</v>
      </c>
      <c r="F829" s="298">
        <f t="shared" si="155"/>
        <v>1</v>
      </c>
      <c r="G829" s="298">
        <f t="shared" si="156"/>
        <v>2</v>
      </c>
      <c r="H829" s="298">
        <f t="shared" si="157"/>
        <v>29</v>
      </c>
      <c r="I829" s="298">
        <f t="shared" si="158"/>
        <v>6</v>
      </c>
      <c r="J829" s="298">
        <f t="shared" si="159"/>
        <v>35</v>
      </c>
      <c r="K829" s="299">
        <f t="shared" si="160"/>
        <v>301435</v>
      </c>
      <c r="R829" s="497">
        <f t="shared" si="151"/>
        <v>301442</v>
      </c>
    </row>
    <row r="830" spans="2:18">
      <c r="B830" s="604">
        <f t="shared" si="152"/>
        <v>2726</v>
      </c>
      <c r="C830" s="297">
        <f t="shared" si="150"/>
        <v>27</v>
      </c>
      <c r="D830" s="297">
        <f t="shared" si="153"/>
        <v>4</v>
      </c>
      <c r="E830" s="297">
        <f t="shared" si="154"/>
        <v>9</v>
      </c>
      <c r="F830" s="298">
        <f t="shared" si="155"/>
        <v>2</v>
      </c>
      <c r="G830" s="298">
        <f t="shared" si="156"/>
        <v>3</v>
      </c>
      <c r="H830" s="298">
        <f t="shared" si="157"/>
        <v>18</v>
      </c>
      <c r="I830" s="298">
        <f t="shared" si="158"/>
        <v>2</v>
      </c>
      <c r="J830" s="298">
        <f t="shared" si="159"/>
        <v>20</v>
      </c>
      <c r="K830" s="299">
        <f t="shared" si="160"/>
        <v>301792</v>
      </c>
      <c r="R830" s="497">
        <f t="shared" si="151"/>
        <v>301792</v>
      </c>
    </row>
    <row r="831" spans="2:18">
      <c r="B831" s="604">
        <f t="shared" si="152"/>
        <v>2727</v>
      </c>
      <c r="C831" s="297">
        <f t="shared" si="150"/>
        <v>27</v>
      </c>
      <c r="D831" s="297">
        <f t="shared" si="153"/>
        <v>4</v>
      </c>
      <c r="E831" s="297">
        <f t="shared" si="154"/>
        <v>10</v>
      </c>
      <c r="F831" s="298">
        <f t="shared" si="155"/>
        <v>3</v>
      </c>
      <c r="G831" s="298">
        <f t="shared" si="156"/>
        <v>4</v>
      </c>
      <c r="H831" s="298">
        <f t="shared" si="157"/>
        <v>7</v>
      </c>
      <c r="I831" s="298">
        <f t="shared" si="158"/>
        <v>5</v>
      </c>
      <c r="J831" s="298">
        <f t="shared" si="159"/>
        <v>12</v>
      </c>
      <c r="K831" s="299">
        <f t="shared" si="160"/>
        <v>302149</v>
      </c>
      <c r="R831" s="497">
        <f t="shared" si="151"/>
        <v>302149</v>
      </c>
    </row>
    <row r="832" spans="2:18">
      <c r="B832" s="604">
        <f t="shared" si="152"/>
        <v>2728</v>
      </c>
      <c r="C832" s="297">
        <f t="shared" si="150"/>
        <v>27</v>
      </c>
      <c r="D832" s="297">
        <f t="shared" si="153"/>
        <v>4</v>
      </c>
      <c r="E832" s="297">
        <f t="shared" si="154"/>
        <v>11</v>
      </c>
      <c r="F832" s="298">
        <f t="shared" si="155"/>
        <v>0</v>
      </c>
      <c r="G832" s="298">
        <f t="shared" si="156"/>
        <v>5</v>
      </c>
      <c r="H832" s="298">
        <f t="shared" si="157"/>
        <v>26</v>
      </c>
      <c r="I832" s="298">
        <f t="shared" si="158"/>
        <v>5</v>
      </c>
      <c r="J832" s="298">
        <f t="shared" si="159"/>
        <v>31</v>
      </c>
      <c r="K832" s="299">
        <f t="shared" si="160"/>
        <v>302534</v>
      </c>
      <c r="R832" s="497">
        <f t="shared" si="151"/>
        <v>302534</v>
      </c>
    </row>
    <row r="833" spans="2:18">
      <c r="B833" s="604">
        <f t="shared" si="152"/>
        <v>2729</v>
      </c>
      <c r="C833" s="297">
        <f t="shared" si="150"/>
        <v>27</v>
      </c>
      <c r="D833" s="297">
        <f t="shared" si="153"/>
        <v>4</v>
      </c>
      <c r="E833" s="297">
        <f t="shared" si="154"/>
        <v>12</v>
      </c>
      <c r="F833" s="298">
        <f t="shared" si="155"/>
        <v>1</v>
      </c>
      <c r="G833" s="298">
        <f t="shared" si="156"/>
        <v>6</v>
      </c>
      <c r="H833" s="298">
        <f t="shared" si="157"/>
        <v>15</v>
      </c>
      <c r="I833" s="298">
        <f t="shared" si="158"/>
        <v>1</v>
      </c>
      <c r="J833" s="298">
        <f t="shared" si="159"/>
        <v>16</v>
      </c>
      <c r="K833" s="299">
        <f t="shared" si="160"/>
        <v>302884</v>
      </c>
      <c r="R833" s="497">
        <f t="shared" si="151"/>
        <v>302884</v>
      </c>
    </row>
    <row r="834" spans="2:18">
      <c r="B834" s="604">
        <f t="shared" si="152"/>
        <v>2730</v>
      </c>
      <c r="C834" s="297">
        <f t="shared" si="150"/>
        <v>27</v>
      </c>
      <c r="D834" s="297">
        <f t="shared" si="153"/>
        <v>4</v>
      </c>
      <c r="E834" s="297">
        <f t="shared" si="154"/>
        <v>13</v>
      </c>
      <c r="F834" s="298">
        <f t="shared" si="155"/>
        <v>2</v>
      </c>
      <c r="G834" s="298">
        <f t="shared" si="156"/>
        <v>0</v>
      </c>
      <c r="H834" s="298">
        <f t="shared" si="157"/>
        <v>4</v>
      </c>
      <c r="I834" s="298">
        <f t="shared" si="158"/>
        <v>4</v>
      </c>
      <c r="J834" s="298">
        <f t="shared" si="159"/>
        <v>8</v>
      </c>
      <c r="K834" s="299">
        <f t="shared" si="160"/>
        <v>303241</v>
      </c>
      <c r="R834" s="497">
        <f t="shared" si="151"/>
        <v>303241</v>
      </c>
    </row>
    <row r="835" spans="2:18">
      <c r="B835" s="604">
        <f t="shared" si="152"/>
        <v>2731</v>
      </c>
      <c r="C835" s="297">
        <f t="shared" si="150"/>
        <v>27</v>
      </c>
      <c r="D835" s="297">
        <f t="shared" si="153"/>
        <v>4</v>
      </c>
      <c r="E835" s="297">
        <f t="shared" si="154"/>
        <v>14</v>
      </c>
      <c r="F835" s="298">
        <f t="shared" si="155"/>
        <v>3</v>
      </c>
      <c r="G835" s="298">
        <f t="shared" si="156"/>
        <v>1</v>
      </c>
      <c r="H835" s="298">
        <f t="shared" si="157"/>
        <v>23</v>
      </c>
      <c r="I835" s="298">
        <f t="shared" si="158"/>
        <v>5</v>
      </c>
      <c r="J835" s="298">
        <f t="shared" si="159"/>
        <v>28</v>
      </c>
      <c r="K835" s="299">
        <f t="shared" si="160"/>
        <v>303626</v>
      </c>
      <c r="R835" s="497">
        <f t="shared" si="151"/>
        <v>303626</v>
      </c>
    </row>
    <row r="836" spans="2:18">
      <c r="B836" s="604">
        <f t="shared" si="152"/>
        <v>2732</v>
      </c>
      <c r="C836" s="297">
        <f t="shared" si="150"/>
        <v>27</v>
      </c>
      <c r="D836" s="297">
        <f t="shared" si="153"/>
        <v>4</v>
      </c>
      <c r="E836" s="297">
        <f t="shared" si="154"/>
        <v>15</v>
      </c>
      <c r="F836" s="298">
        <f t="shared" si="155"/>
        <v>0</v>
      </c>
      <c r="G836" s="298">
        <f t="shared" si="156"/>
        <v>2</v>
      </c>
      <c r="H836" s="298">
        <f t="shared" si="157"/>
        <v>12</v>
      </c>
      <c r="I836" s="298">
        <f t="shared" si="158"/>
        <v>0</v>
      </c>
      <c r="J836" s="298">
        <f t="shared" si="159"/>
        <v>12</v>
      </c>
      <c r="K836" s="299">
        <f t="shared" si="160"/>
        <v>303976</v>
      </c>
      <c r="R836" s="497">
        <f t="shared" si="151"/>
        <v>303976</v>
      </c>
    </row>
    <row r="837" spans="2:18">
      <c r="B837" s="604">
        <f t="shared" si="152"/>
        <v>2733</v>
      </c>
      <c r="C837" s="297">
        <f t="shared" ref="C837:C900" si="161">VLOOKUP(B837,$M$4:$P$86,3,TRUE)</f>
        <v>27</v>
      </c>
      <c r="D837" s="297">
        <f t="shared" si="153"/>
        <v>4</v>
      </c>
      <c r="E837" s="297">
        <f t="shared" si="154"/>
        <v>16</v>
      </c>
      <c r="F837" s="298">
        <f t="shared" si="155"/>
        <v>1</v>
      </c>
      <c r="G837" s="298">
        <f t="shared" si="156"/>
        <v>3</v>
      </c>
      <c r="H837" s="298">
        <f t="shared" si="157"/>
        <v>1</v>
      </c>
      <c r="I837" s="298">
        <f t="shared" si="158"/>
        <v>3</v>
      </c>
      <c r="J837" s="298">
        <f t="shared" si="159"/>
        <v>4</v>
      </c>
      <c r="K837" s="299">
        <f t="shared" si="160"/>
        <v>304333</v>
      </c>
      <c r="R837" s="497">
        <f t="shared" ref="R837:R900" si="162">IF(MOD(19*MOD(B837,19)+C837,30)+MOD(2*MOD(B837,4)+4*MOD(B837,7)+6*MOD(19*MOD(B837,19)+C837,30)+D837,7)-9&lt;=0,DATE(B837,3,22+MOD(19*MOD(B837,19)+C837,30)+MOD(2*MOD(B837,4)+4*MOD(B837,7)+6*MOD(19*MOD(B837,19)+C837,30)+D837,7)),DATE(B837,4,MOD(19*MOD(B837,19)+C837,30)+MOD(2*MOD(B837,4)+4*MOD(B837,7)+6*MOD(19*MOD(B837,19)+C837,30)+D837,7)-9))</f>
        <v>304333</v>
      </c>
    </row>
    <row r="838" spans="2:18">
      <c r="B838" s="604">
        <f t="shared" ref="B838:B901" si="163">B837+1</f>
        <v>2734</v>
      </c>
      <c r="C838" s="297">
        <f t="shared" si="161"/>
        <v>27</v>
      </c>
      <c r="D838" s="297">
        <f t="shared" si="153"/>
        <v>4</v>
      </c>
      <c r="E838" s="297">
        <f t="shared" si="154"/>
        <v>17</v>
      </c>
      <c r="F838" s="298">
        <f t="shared" si="155"/>
        <v>2</v>
      </c>
      <c r="G838" s="298">
        <f t="shared" si="156"/>
        <v>4</v>
      </c>
      <c r="H838" s="298">
        <f t="shared" si="157"/>
        <v>20</v>
      </c>
      <c r="I838" s="298">
        <f t="shared" si="158"/>
        <v>4</v>
      </c>
      <c r="J838" s="298">
        <f t="shared" si="159"/>
        <v>24</v>
      </c>
      <c r="K838" s="299">
        <f t="shared" si="160"/>
        <v>304718</v>
      </c>
      <c r="R838" s="497">
        <f t="shared" si="162"/>
        <v>304718</v>
      </c>
    </row>
    <row r="839" spans="2:18">
      <c r="B839" s="604">
        <f t="shared" si="163"/>
        <v>2735</v>
      </c>
      <c r="C839" s="297">
        <f t="shared" si="161"/>
        <v>27</v>
      </c>
      <c r="D839" s="297">
        <f t="shared" si="153"/>
        <v>4</v>
      </c>
      <c r="E839" s="297">
        <f t="shared" si="154"/>
        <v>18</v>
      </c>
      <c r="F839" s="298">
        <f t="shared" si="155"/>
        <v>3</v>
      </c>
      <c r="G839" s="298">
        <f t="shared" si="156"/>
        <v>5</v>
      </c>
      <c r="H839" s="298">
        <f t="shared" si="157"/>
        <v>9</v>
      </c>
      <c r="I839" s="298">
        <f t="shared" si="158"/>
        <v>0</v>
      </c>
      <c r="J839" s="298">
        <f t="shared" si="159"/>
        <v>9</v>
      </c>
      <c r="K839" s="299">
        <f t="shared" si="160"/>
        <v>305068</v>
      </c>
      <c r="R839" s="497">
        <f t="shared" si="162"/>
        <v>305068</v>
      </c>
    </row>
    <row r="840" spans="2:18">
      <c r="B840" s="604">
        <f t="shared" si="163"/>
        <v>2736</v>
      </c>
      <c r="C840" s="297">
        <f t="shared" si="161"/>
        <v>27</v>
      </c>
      <c r="D840" s="297">
        <f t="shared" si="153"/>
        <v>4</v>
      </c>
      <c r="E840" s="297">
        <f t="shared" si="154"/>
        <v>0</v>
      </c>
      <c r="F840" s="298">
        <f t="shared" si="155"/>
        <v>0</v>
      </c>
      <c r="G840" s="298">
        <f t="shared" si="156"/>
        <v>6</v>
      </c>
      <c r="H840" s="298">
        <f t="shared" si="157"/>
        <v>27</v>
      </c>
      <c r="I840" s="298">
        <f t="shared" si="158"/>
        <v>1</v>
      </c>
      <c r="J840" s="298">
        <f t="shared" si="159"/>
        <v>28</v>
      </c>
      <c r="K840" s="299">
        <f t="shared" si="160"/>
        <v>305453</v>
      </c>
      <c r="R840" s="497">
        <f t="shared" si="162"/>
        <v>305453</v>
      </c>
    </row>
    <row r="841" spans="2:18">
      <c r="B841" s="604">
        <f t="shared" si="163"/>
        <v>2737</v>
      </c>
      <c r="C841" s="297">
        <f t="shared" si="161"/>
        <v>27</v>
      </c>
      <c r="D841" s="297">
        <f t="shared" si="153"/>
        <v>4</v>
      </c>
      <c r="E841" s="297">
        <f t="shared" si="154"/>
        <v>1</v>
      </c>
      <c r="F841" s="298">
        <f t="shared" si="155"/>
        <v>1</v>
      </c>
      <c r="G841" s="298">
        <f t="shared" si="156"/>
        <v>0</v>
      </c>
      <c r="H841" s="298">
        <f t="shared" si="157"/>
        <v>16</v>
      </c>
      <c r="I841" s="298">
        <f t="shared" si="158"/>
        <v>4</v>
      </c>
      <c r="J841" s="298">
        <f t="shared" si="159"/>
        <v>20</v>
      </c>
      <c r="K841" s="299">
        <f t="shared" si="160"/>
        <v>305810</v>
      </c>
      <c r="R841" s="497">
        <f t="shared" si="162"/>
        <v>305810</v>
      </c>
    </row>
    <row r="842" spans="2:18">
      <c r="B842" s="604">
        <f t="shared" si="163"/>
        <v>2738</v>
      </c>
      <c r="C842" s="297">
        <f t="shared" si="161"/>
        <v>27</v>
      </c>
      <c r="D842" s="297">
        <f t="shared" ref="D842:D905" si="164">VLOOKUP(B842,$M$4:$P$86,4,TRUE)</f>
        <v>4</v>
      </c>
      <c r="E842" s="297">
        <f t="shared" ref="E842:E905" si="165">MOD(B842,19)</f>
        <v>2</v>
      </c>
      <c r="F842" s="298">
        <f t="shared" ref="F842:F905" si="166">MOD(B842,4)</f>
        <v>2</v>
      </c>
      <c r="G842" s="298">
        <f t="shared" ref="G842:G905" si="167">MOD(B842,7)</f>
        <v>1</v>
      </c>
      <c r="H842" s="298">
        <f t="shared" ref="H842:H905" si="168">MOD(19*E842+C842,30)</f>
        <v>5</v>
      </c>
      <c r="I842" s="298">
        <f t="shared" ref="I842:I905" si="169">MOD(2*F842+4*G842+6*H842+D842,7)</f>
        <v>0</v>
      </c>
      <c r="J842" s="298">
        <f t="shared" ref="J842:J905" si="170">H842+I842</f>
        <v>5</v>
      </c>
      <c r="K842" s="299">
        <f t="shared" ref="K842:K905" si="171">IF(J842&lt;10,DATE(B842,3,J842+22),IF(J842-9=26,DATE(B842,4,19),IF(AND(J842-9=25,H842=28,I842=6,E842&gt;10),DATE(B842,4,18),DATE(B842,4,J842-9))))</f>
        <v>306160</v>
      </c>
      <c r="R842" s="497">
        <f t="shared" si="162"/>
        <v>306160</v>
      </c>
    </row>
    <row r="843" spans="2:18">
      <c r="B843" s="604">
        <f t="shared" si="163"/>
        <v>2739</v>
      </c>
      <c r="C843" s="297">
        <f t="shared" si="161"/>
        <v>27</v>
      </c>
      <c r="D843" s="297">
        <f t="shared" si="164"/>
        <v>4</v>
      </c>
      <c r="E843" s="297">
        <f t="shared" si="165"/>
        <v>3</v>
      </c>
      <c r="F843" s="298">
        <f t="shared" si="166"/>
        <v>3</v>
      </c>
      <c r="G843" s="298">
        <f t="shared" si="167"/>
        <v>2</v>
      </c>
      <c r="H843" s="298">
        <f t="shared" si="168"/>
        <v>24</v>
      </c>
      <c r="I843" s="298">
        <f t="shared" si="169"/>
        <v>1</v>
      </c>
      <c r="J843" s="298">
        <f t="shared" si="170"/>
        <v>25</v>
      </c>
      <c r="K843" s="299">
        <f t="shared" si="171"/>
        <v>306545</v>
      </c>
      <c r="R843" s="497">
        <f t="shared" si="162"/>
        <v>306545</v>
      </c>
    </row>
    <row r="844" spans="2:18">
      <c r="B844" s="604">
        <f t="shared" si="163"/>
        <v>2740</v>
      </c>
      <c r="C844" s="297">
        <f t="shared" si="161"/>
        <v>27</v>
      </c>
      <c r="D844" s="297">
        <f t="shared" si="164"/>
        <v>4</v>
      </c>
      <c r="E844" s="297">
        <f t="shared" si="165"/>
        <v>4</v>
      </c>
      <c r="F844" s="298">
        <f t="shared" si="166"/>
        <v>0</v>
      </c>
      <c r="G844" s="298">
        <f t="shared" si="167"/>
        <v>3</v>
      </c>
      <c r="H844" s="298">
        <f t="shared" si="168"/>
        <v>13</v>
      </c>
      <c r="I844" s="298">
        <f t="shared" si="169"/>
        <v>3</v>
      </c>
      <c r="J844" s="298">
        <f t="shared" si="170"/>
        <v>16</v>
      </c>
      <c r="K844" s="299">
        <f t="shared" si="171"/>
        <v>306902</v>
      </c>
      <c r="R844" s="497">
        <f t="shared" si="162"/>
        <v>306902</v>
      </c>
    </row>
    <row r="845" spans="2:18">
      <c r="B845" s="604">
        <f t="shared" si="163"/>
        <v>2741</v>
      </c>
      <c r="C845" s="297">
        <f t="shared" si="161"/>
        <v>27</v>
      </c>
      <c r="D845" s="297">
        <f t="shared" si="164"/>
        <v>4</v>
      </c>
      <c r="E845" s="297">
        <f t="shared" si="165"/>
        <v>5</v>
      </c>
      <c r="F845" s="298">
        <f t="shared" si="166"/>
        <v>1</v>
      </c>
      <c r="G845" s="298">
        <f t="shared" si="167"/>
        <v>4</v>
      </c>
      <c r="H845" s="298">
        <f t="shared" si="168"/>
        <v>2</v>
      </c>
      <c r="I845" s="298">
        <f t="shared" si="169"/>
        <v>6</v>
      </c>
      <c r="J845" s="298">
        <f t="shared" si="170"/>
        <v>8</v>
      </c>
      <c r="K845" s="299">
        <f t="shared" si="171"/>
        <v>307259</v>
      </c>
      <c r="R845" s="497">
        <f t="shared" si="162"/>
        <v>307259</v>
      </c>
    </row>
    <row r="846" spans="2:18">
      <c r="B846" s="604">
        <f t="shared" si="163"/>
        <v>2742</v>
      </c>
      <c r="C846" s="297">
        <f t="shared" si="161"/>
        <v>27</v>
      </c>
      <c r="D846" s="297">
        <f t="shared" si="164"/>
        <v>4</v>
      </c>
      <c r="E846" s="297">
        <f t="shared" si="165"/>
        <v>6</v>
      </c>
      <c r="F846" s="298">
        <f t="shared" si="166"/>
        <v>2</v>
      </c>
      <c r="G846" s="298">
        <f t="shared" si="167"/>
        <v>5</v>
      </c>
      <c r="H846" s="298">
        <f t="shared" si="168"/>
        <v>21</v>
      </c>
      <c r="I846" s="298">
        <f t="shared" si="169"/>
        <v>0</v>
      </c>
      <c r="J846" s="298">
        <f t="shared" si="170"/>
        <v>21</v>
      </c>
      <c r="K846" s="299">
        <f t="shared" si="171"/>
        <v>307637</v>
      </c>
      <c r="R846" s="497">
        <f t="shared" si="162"/>
        <v>307637</v>
      </c>
    </row>
    <row r="847" spans="2:18">
      <c r="B847" s="604">
        <f t="shared" si="163"/>
        <v>2743</v>
      </c>
      <c r="C847" s="297">
        <f t="shared" si="161"/>
        <v>27</v>
      </c>
      <c r="D847" s="297">
        <f t="shared" si="164"/>
        <v>4</v>
      </c>
      <c r="E847" s="297">
        <f t="shared" si="165"/>
        <v>7</v>
      </c>
      <c r="F847" s="298">
        <f t="shared" si="166"/>
        <v>3</v>
      </c>
      <c r="G847" s="298">
        <f t="shared" si="167"/>
        <v>6</v>
      </c>
      <c r="H847" s="298">
        <f t="shared" si="168"/>
        <v>10</v>
      </c>
      <c r="I847" s="298">
        <f t="shared" si="169"/>
        <v>3</v>
      </c>
      <c r="J847" s="298">
        <f t="shared" si="170"/>
        <v>13</v>
      </c>
      <c r="K847" s="299">
        <f t="shared" si="171"/>
        <v>307994</v>
      </c>
      <c r="R847" s="497">
        <f t="shared" si="162"/>
        <v>307994</v>
      </c>
    </row>
    <row r="848" spans="2:18">
      <c r="B848" s="604">
        <f t="shared" si="163"/>
        <v>2744</v>
      </c>
      <c r="C848" s="297">
        <f t="shared" si="161"/>
        <v>27</v>
      </c>
      <c r="D848" s="297">
        <f t="shared" si="164"/>
        <v>4</v>
      </c>
      <c r="E848" s="297">
        <f t="shared" si="165"/>
        <v>8</v>
      </c>
      <c r="F848" s="298">
        <f t="shared" si="166"/>
        <v>0</v>
      </c>
      <c r="G848" s="298">
        <f t="shared" si="167"/>
        <v>0</v>
      </c>
      <c r="H848" s="298">
        <f t="shared" si="168"/>
        <v>29</v>
      </c>
      <c r="I848" s="298">
        <f t="shared" si="169"/>
        <v>3</v>
      </c>
      <c r="J848" s="298">
        <f t="shared" si="170"/>
        <v>32</v>
      </c>
      <c r="K848" s="299">
        <f t="shared" si="171"/>
        <v>308379</v>
      </c>
      <c r="R848" s="497">
        <f t="shared" si="162"/>
        <v>308379</v>
      </c>
    </row>
    <row r="849" spans="2:18">
      <c r="B849" s="604">
        <f t="shared" si="163"/>
        <v>2745</v>
      </c>
      <c r="C849" s="297">
        <f t="shared" si="161"/>
        <v>27</v>
      </c>
      <c r="D849" s="297">
        <f t="shared" si="164"/>
        <v>4</v>
      </c>
      <c r="E849" s="297">
        <f t="shared" si="165"/>
        <v>9</v>
      </c>
      <c r="F849" s="298">
        <f t="shared" si="166"/>
        <v>1</v>
      </c>
      <c r="G849" s="298">
        <f t="shared" si="167"/>
        <v>1</v>
      </c>
      <c r="H849" s="298">
        <f t="shared" si="168"/>
        <v>18</v>
      </c>
      <c r="I849" s="298">
        <f t="shared" si="169"/>
        <v>6</v>
      </c>
      <c r="J849" s="298">
        <f t="shared" si="170"/>
        <v>24</v>
      </c>
      <c r="K849" s="299">
        <f t="shared" si="171"/>
        <v>308736</v>
      </c>
      <c r="R849" s="497">
        <f t="shared" si="162"/>
        <v>308736</v>
      </c>
    </row>
    <row r="850" spans="2:18">
      <c r="B850" s="604">
        <f t="shared" si="163"/>
        <v>2746</v>
      </c>
      <c r="C850" s="297">
        <f t="shared" si="161"/>
        <v>27</v>
      </c>
      <c r="D850" s="297">
        <f t="shared" si="164"/>
        <v>4</v>
      </c>
      <c r="E850" s="297">
        <f t="shared" si="165"/>
        <v>10</v>
      </c>
      <c r="F850" s="298">
        <f t="shared" si="166"/>
        <v>2</v>
      </c>
      <c r="G850" s="298">
        <f t="shared" si="167"/>
        <v>2</v>
      </c>
      <c r="H850" s="298">
        <f t="shared" si="168"/>
        <v>7</v>
      </c>
      <c r="I850" s="298">
        <f t="shared" si="169"/>
        <v>2</v>
      </c>
      <c r="J850" s="298">
        <f t="shared" si="170"/>
        <v>9</v>
      </c>
      <c r="K850" s="299">
        <f t="shared" si="171"/>
        <v>309086</v>
      </c>
      <c r="R850" s="497">
        <f t="shared" si="162"/>
        <v>309086</v>
      </c>
    </row>
    <row r="851" spans="2:18">
      <c r="B851" s="604">
        <f t="shared" si="163"/>
        <v>2747</v>
      </c>
      <c r="C851" s="297">
        <f t="shared" si="161"/>
        <v>27</v>
      </c>
      <c r="D851" s="297">
        <f t="shared" si="164"/>
        <v>4</v>
      </c>
      <c r="E851" s="297">
        <f t="shared" si="165"/>
        <v>11</v>
      </c>
      <c r="F851" s="298">
        <f t="shared" si="166"/>
        <v>3</v>
      </c>
      <c r="G851" s="298">
        <f t="shared" si="167"/>
        <v>3</v>
      </c>
      <c r="H851" s="298">
        <f t="shared" si="168"/>
        <v>26</v>
      </c>
      <c r="I851" s="298">
        <f t="shared" si="169"/>
        <v>3</v>
      </c>
      <c r="J851" s="298">
        <f t="shared" si="170"/>
        <v>29</v>
      </c>
      <c r="K851" s="299">
        <f t="shared" si="171"/>
        <v>309471</v>
      </c>
      <c r="R851" s="497">
        <f t="shared" si="162"/>
        <v>309471</v>
      </c>
    </row>
    <row r="852" spans="2:18">
      <c r="B852" s="604">
        <f t="shared" si="163"/>
        <v>2748</v>
      </c>
      <c r="C852" s="297">
        <f t="shared" si="161"/>
        <v>27</v>
      </c>
      <c r="D852" s="297">
        <f t="shared" si="164"/>
        <v>4</v>
      </c>
      <c r="E852" s="297">
        <f t="shared" si="165"/>
        <v>12</v>
      </c>
      <c r="F852" s="298">
        <f t="shared" si="166"/>
        <v>0</v>
      </c>
      <c r="G852" s="298">
        <f t="shared" si="167"/>
        <v>4</v>
      </c>
      <c r="H852" s="298">
        <f t="shared" si="168"/>
        <v>15</v>
      </c>
      <c r="I852" s="298">
        <f t="shared" si="169"/>
        <v>5</v>
      </c>
      <c r="J852" s="298">
        <f t="shared" si="170"/>
        <v>20</v>
      </c>
      <c r="K852" s="299">
        <f t="shared" si="171"/>
        <v>309828</v>
      </c>
      <c r="R852" s="497">
        <f t="shared" si="162"/>
        <v>309828</v>
      </c>
    </row>
    <row r="853" spans="2:18">
      <c r="B853" s="604">
        <f t="shared" si="163"/>
        <v>2749</v>
      </c>
      <c r="C853" s="297">
        <f t="shared" si="161"/>
        <v>27</v>
      </c>
      <c r="D853" s="297">
        <f t="shared" si="164"/>
        <v>4</v>
      </c>
      <c r="E853" s="297">
        <f t="shared" si="165"/>
        <v>13</v>
      </c>
      <c r="F853" s="298">
        <f t="shared" si="166"/>
        <v>1</v>
      </c>
      <c r="G853" s="298">
        <f t="shared" si="167"/>
        <v>5</v>
      </c>
      <c r="H853" s="298">
        <f t="shared" si="168"/>
        <v>4</v>
      </c>
      <c r="I853" s="298">
        <f t="shared" si="169"/>
        <v>1</v>
      </c>
      <c r="J853" s="298">
        <f t="shared" si="170"/>
        <v>5</v>
      </c>
      <c r="K853" s="299">
        <f t="shared" si="171"/>
        <v>310178</v>
      </c>
      <c r="R853" s="497">
        <f t="shared" si="162"/>
        <v>310178</v>
      </c>
    </row>
    <row r="854" spans="2:18">
      <c r="B854" s="604">
        <f t="shared" si="163"/>
        <v>2750</v>
      </c>
      <c r="C854" s="297">
        <f t="shared" si="161"/>
        <v>27</v>
      </c>
      <c r="D854" s="297">
        <f t="shared" si="164"/>
        <v>4</v>
      </c>
      <c r="E854" s="297">
        <f t="shared" si="165"/>
        <v>14</v>
      </c>
      <c r="F854" s="298">
        <f t="shared" si="166"/>
        <v>2</v>
      </c>
      <c r="G854" s="298">
        <f t="shared" si="167"/>
        <v>6</v>
      </c>
      <c r="H854" s="298">
        <f t="shared" si="168"/>
        <v>23</v>
      </c>
      <c r="I854" s="298">
        <f t="shared" si="169"/>
        <v>2</v>
      </c>
      <c r="J854" s="298">
        <f t="shared" si="170"/>
        <v>25</v>
      </c>
      <c r="K854" s="299">
        <f t="shared" si="171"/>
        <v>310563</v>
      </c>
      <c r="R854" s="497">
        <f t="shared" si="162"/>
        <v>310563</v>
      </c>
    </row>
    <row r="855" spans="2:18">
      <c r="B855" s="604">
        <f t="shared" si="163"/>
        <v>2751</v>
      </c>
      <c r="C855" s="297">
        <f t="shared" si="161"/>
        <v>27</v>
      </c>
      <c r="D855" s="297">
        <f t="shared" si="164"/>
        <v>4</v>
      </c>
      <c r="E855" s="297">
        <f t="shared" si="165"/>
        <v>15</v>
      </c>
      <c r="F855" s="298">
        <f t="shared" si="166"/>
        <v>3</v>
      </c>
      <c r="G855" s="298">
        <f t="shared" si="167"/>
        <v>0</v>
      </c>
      <c r="H855" s="298">
        <f t="shared" si="168"/>
        <v>12</v>
      </c>
      <c r="I855" s="298">
        <f t="shared" si="169"/>
        <v>5</v>
      </c>
      <c r="J855" s="298">
        <f t="shared" si="170"/>
        <v>17</v>
      </c>
      <c r="K855" s="299">
        <f t="shared" si="171"/>
        <v>310920</v>
      </c>
      <c r="R855" s="497">
        <f t="shared" si="162"/>
        <v>310920</v>
      </c>
    </row>
    <row r="856" spans="2:18">
      <c r="B856" s="604">
        <f t="shared" si="163"/>
        <v>2752</v>
      </c>
      <c r="C856" s="297">
        <f t="shared" si="161"/>
        <v>27</v>
      </c>
      <c r="D856" s="297">
        <f t="shared" si="164"/>
        <v>4</v>
      </c>
      <c r="E856" s="297">
        <f t="shared" si="165"/>
        <v>16</v>
      </c>
      <c r="F856" s="298">
        <f t="shared" si="166"/>
        <v>0</v>
      </c>
      <c r="G856" s="298">
        <f t="shared" si="167"/>
        <v>1</v>
      </c>
      <c r="H856" s="298">
        <f t="shared" si="168"/>
        <v>1</v>
      </c>
      <c r="I856" s="298">
        <f t="shared" si="169"/>
        <v>0</v>
      </c>
      <c r="J856" s="298">
        <f t="shared" si="170"/>
        <v>1</v>
      </c>
      <c r="K856" s="299">
        <f t="shared" si="171"/>
        <v>311270</v>
      </c>
      <c r="R856" s="497">
        <f t="shared" si="162"/>
        <v>311270</v>
      </c>
    </row>
    <row r="857" spans="2:18">
      <c r="B857" s="604">
        <f t="shared" si="163"/>
        <v>2753</v>
      </c>
      <c r="C857" s="297">
        <f t="shared" si="161"/>
        <v>27</v>
      </c>
      <c r="D857" s="297">
        <f t="shared" si="164"/>
        <v>4</v>
      </c>
      <c r="E857" s="297">
        <f t="shared" si="165"/>
        <v>17</v>
      </c>
      <c r="F857" s="298">
        <f t="shared" si="166"/>
        <v>1</v>
      </c>
      <c r="G857" s="298">
        <f t="shared" si="167"/>
        <v>2</v>
      </c>
      <c r="H857" s="298">
        <f t="shared" si="168"/>
        <v>20</v>
      </c>
      <c r="I857" s="298">
        <f t="shared" si="169"/>
        <v>1</v>
      </c>
      <c r="J857" s="298">
        <f t="shared" si="170"/>
        <v>21</v>
      </c>
      <c r="K857" s="299">
        <f t="shared" si="171"/>
        <v>311655</v>
      </c>
      <c r="R857" s="497">
        <f t="shared" si="162"/>
        <v>311655</v>
      </c>
    </row>
    <row r="858" spans="2:18">
      <c r="B858" s="604">
        <f t="shared" si="163"/>
        <v>2754</v>
      </c>
      <c r="C858" s="297">
        <f t="shared" si="161"/>
        <v>27</v>
      </c>
      <c r="D858" s="297">
        <f t="shared" si="164"/>
        <v>4</v>
      </c>
      <c r="E858" s="297">
        <f t="shared" si="165"/>
        <v>18</v>
      </c>
      <c r="F858" s="298">
        <f t="shared" si="166"/>
        <v>2</v>
      </c>
      <c r="G858" s="298">
        <f t="shared" si="167"/>
        <v>3</v>
      </c>
      <c r="H858" s="298">
        <f t="shared" si="168"/>
        <v>9</v>
      </c>
      <c r="I858" s="298">
        <f t="shared" si="169"/>
        <v>4</v>
      </c>
      <c r="J858" s="298">
        <f t="shared" si="170"/>
        <v>13</v>
      </c>
      <c r="K858" s="299">
        <f t="shared" si="171"/>
        <v>312012</v>
      </c>
      <c r="R858" s="497">
        <f t="shared" si="162"/>
        <v>312012</v>
      </c>
    </row>
    <row r="859" spans="2:18">
      <c r="B859" s="604">
        <f t="shared" si="163"/>
        <v>2755</v>
      </c>
      <c r="C859" s="297">
        <f t="shared" si="161"/>
        <v>27</v>
      </c>
      <c r="D859" s="297">
        <f t="shared" si="164"/>
        <v>4</v>
      </c>
      <c r="E859" s="297">
        <f t="shared" si="165"/>
        <v>0</v>
      </c>
      <c r="F859" s="298">
        <f t="shared" si="166"/>
        <v>3</v>
      </c>
      <c r="G859" s="298">
        <f t="shared" si="167"/>
        <v>4</v>
      </c>
      <c r="H859" s="298">
        <f t="shared" si="168"/>
        <v>27</v>
      </c>
      <c r="I859" s="298">
        <f t="shared" si="169"/>
        <v>6</v>
      </c>
      <c r="J859" s="298">
        <f t="shared" si="170"/>
        <v>33</v>
      </c>
      <c r="K859" s="299">
        <f t="shared" si="171"/>
        <v>312397</v>
      </c>
      <c r="R859" s="497">
        <f t="shared" si="162"/>
        <v>312397</v>
      </c>
    </row>
    <row r="860" spans="2:18">
      <c r="B860" s="604">
        <f t="shared" si="163"/>
        <v>2756</v>
      </c>
      <c r="C860" s="297">
        <f t="shared" si="161"/>
        <v>27</v>
      </c>
      <c r="D860" s="297">
        <f t="shared" si="164"/>
        <v>4</v>
      </c>
      <c r="E860" s="297">
        <f t="shared" si="165"/>
        <v>1</v>
      </c>
      <c r="F860" s="298">
        <f t="shared" si="166"/>
        <v>0</v>
      </c>
      <c r="G860" s="298">
        <f t="shared" si="167"/>
        <v>5</v>
      </c>
      <c r="H860" s="298">
        <f t="shared" si="168"/>
        <v>16</v>
      </c>
      <c r="I860" s="298">
        <f t="shared" si="169"/>
        <v>1</v>
      </c>
      <c r="J860" s="298">
        <f t="shared" si="170"/>
        <v>17</v>
      </c>
      <c r="K860" s="299">
        <f t="shared" si="171"/>
        <v>312747</v>
      </c>
      <c r="R860" s="497">
        <f t="shared" si="162"/>
        <v>312747</v>
      </c>
    </row>
    <row r="861" spans="2:18">
      <c r="B861" s="604">
        <f t="shared" si="163"/>
        <v>2757</v>
      </c>
      <c r="C861" s="297">
        <f t="shared" si="161"/>
        <v>27</v>
      </c>
      <c r="D861" s="297">
        <f t="shared" si="164"/>
        <v>4</v>
      </c>
      <c r="E861" s="297">
        <f t="shared" si="165"/>
        <v>2</v>
      </c>
      <c r="F861" s="298">
        <f t="shared" si="166"/>
        <v>1</v>
      </c>
      <c r="G861" s="298">
        <f t="shared" si="167"/>
        <v>6</v>
      </c>
      <c r="H861" s="298">
        <f t="shared" si="168"/>
        <v>5</v>
      </c>
      <c r="I861" s="298">
        <f t="shared" si="169"/>
        <v>4</v>
      </c>
      <c r="J861" s="298">
        <f t="shared" si="170"/>
        <v>9</v>
      </c>
      <c r="K861" s="299">
        <f t="shared" si="171"/>
        <v>313104</v>
      </c>
      <c r="R861" s="497">
        <f t="shared" si="162"/>
        <v>313104</v>
      </c>
    </row>
    <row r="862" spans="2:18">
      <c r="B862" s="604">
        <f t="shared" si="163"/>
        <v>2758</v>
      </c>
      <c r="C862" s="297">
        <f t="shared" si="161"/>
        <v>27</v>
      </c>
      <c r="D862" s="297">
        <f t="shared" si="164"/>
        <v>4</v>
      </c>
      <c r="E862" s="297">
        <f t="shared" si="165"/>
        <v>3</v>
      </c>
      <c r="F862" s="298">
        <f t="shared" si="166"/>
        <v>2</v>
      </c>
      <c r="G862" s="298">
        <f t="shared" si="167"/>
        <v>0</v>
      </c>
      <c r="H862" s="298">
        <f t="shared" si="168"/>
        <v>24</v>
      </c>
      <c r="I862" s="298">
        <f t="shared" si="169"/>
        <v>5</v>
      </c>
      <c r="J862" s="298">
        <f t="shared" si="170"/>
        <v>29</v>
      </c>
      <c r="K862" s="299">
        <f t="shared" si="171"/>
        <v>313489</v>
      </c>
      <c r="R862" s="497">
        <f t="shared" si="162"/>
        <v>313489</v>
      </c>
    </row>
    <row r="863" spans="2:18">
      <c r="B863" s="604">
        <f t="shared" si="163"/>
        <v>2759</v>
      </c>
      <c r="C863" s="297">
        <f t="shared" si="161"/>
        <v>27</v>
      </c>
      <c r="D863" s="297">
        <f t="shared" si="164"/>
        <v>4</v>
      </c>
      <c r="E863" s="297">
        <f t="shared" si="165"/>
        <v>4</v>
      </c>
      <c r="F863" s="298">
        <f t="shared" si="166"/>
        <v>3</v>
      </c>
      <c r="G863" s="298">
        <f t="shared" si="167"/>
        <v>1</v>
      </c>
      <c r="H863" s="298">
        <f t="shared" si="168"/>
        <v>13</v>
      </c>
      <c r="I863" s="298">
        <f t="shared" si="169"/>
        <v>1</v>
      </c>
      <c r="J863" s="298">
        <f t="shared" si="170"/>
        <v>14</v>
      </c>
      <c r="K863" s="299">
        <f t="shared" si="171"/>
        <v>313839</v>
      </c>
      <c r="R863" s="497">
        <f t="shared" si="162"/>
        <v>313839</v>
      </c>
    </row>
    <row r="864" spans="2:18">
      <c r="B864" s="604">
        <f t="shared" si="163"/>
        <v>2760</v>
      </c>
      <c r="C864" s="297">
        <f t="shared" si="161"/>
        <v>27</v>
      </c>
      <c r="D864" s="297">
        <f t="shared" si="164"/>
        <v>4</v>
      </c>
      <c r="E864" s="297">
        <f t="shared" si="165"/>
        <v>5</v>
      </c>
      <c r="F864" s="298">
        <f t="shared" si="166"/>
        <v>0</v>
      </c>
      <c r="G864" s="298">
        <f t="shared" si="167"/>
        <v>2</v>
      </c>
      <c r="H864" s="298">
        <f t="shared" si="168"/>
        <v>2</v>
      </c>
      <c r="I864" s="298">
        <f t="shared" si="169"/>
        <v>3</v>
      </c>
      <c r="J864" s="298">
        <f t="shared" si="170"/>
        <v>5</v>
      </c>
      <c r="K864" s="299">
        <f t="shared" si="171"/>
        <v>314196</v>
      </c>
      <c r="R864" s="497">
        <f t="shared" si="162"/>
        <v>314196</v>
      </c>
    </row>
    <row r="865" spans="2:18">
      <c r="B865" s="604">
        <f t="shared" si="163"/>
        <v>2761</v>
      </c>
      <c r="C865" s="297">
        <f t="shared" si="161"/>
        <v>27</v>
      </c>
      <c r="D865" s="297">
        <f t="shared" si="164"/>
        <v>4</v>
      </c>
      <c r="E865" s="297">
        <f t="shared" si="165"/>
        <v>6</v>
      </c>
      <c r="F865" s="298">
        <f t="shared" si="166"/>
        <v>1</v>
      </c>
      <c r="G865" s="298">
        <f t="shared" si="167"/>
        <v>3</v>
      </c>
      <c r="H865" s="298">
        <f t="shared" si="168"/>
        <v>21</v>
      </c>
      <c r="I865" s="298">
        <f t="shared" si="169"/>
        <v>4</v>
      </c>
      <c r="J865" s="298">
        <f t="shared" si="170"/>
        <v>25</v>
      </c>
      <c r="K865" s="299">
        <f t="shared" si="171"/>
        <v>314581</v>
      </c>
      <c r="R865" s="497">
        <f t="shared" si="162"/>
        <v>314581</v>
      </c>
    </row>
    <row r="866" spans="2:18">
      <c r="B866" s="604">
        <f t="shared" si="163"/>
        <v>2762</v>
      </c>
      <c r="C866" s="297">
        <f t="shared" si="161"/>
        <v>27</v>
      </c>
      <c r="D866" s="297">
        <f t="shared" si="164"/>
        <v>4</v>
      </c>
      <c r="E866" s="297">
        <f t="shared" si="165"/>
        <v>7</v>
      </c>
      <c r="F866" s="298">
        <f t="shared" si="166"/>
        <v>2</v>
      </c>
      <c r="G866" s="298">
        <f t="shared" si="167"/>
        <v>4</v>
      </c>
      <c r="H866" s="298">
        <f t="shared" si="168"/>
        <v>10</v>
      </c>
      <c r="I866" s="298">
        <f t="shared" si="169"/>
        <v>0</v>
      </c>
      <c r="J866" s="298">
        <f t="shared" si="170"/>
        <v>10</v>
      </c>
      <c r="K866" s="299">
        <f t="shared" si="171"/>
        <v>314931</v>
      </c>
      <c r="R866" s="497">
        <f t="shared" si="162"/>
        <v>314931</v>
      </c>
    </row>
    <row r="867" spans="2:18">
      <c r="B867" s="604">
        <f t="shared" si="163"/>
        <v>2763</v>
      </c>
      <c r="C867" s="297">
        <f t="shared" si="161"/>
        <v>27</v>
      </c>
      <c r="D867" s="297">
        <f t="shared" si="164"/>
        <v>4</v>
      </c>
      <c r="E867" s="297">
        <f t="shared" si="165"/>
        <v>8</v>
      </c>
      <c r="F867" s="298">
        <f t="shared" si="166"/>
        <v>3</v>
      </c>
      <c r="G867" s="298">
        <f t="shared" si="167"/>
        <v>5</v>
      </c>
      <c r="H867" s="298">
        <f t="shared" si="168"/>
        <v>29</v>
      </c>
      <c r="I867" s="298">
        <f t="shared" si="169"/>
        <v>1</v>
      </c>
      <c r="J867" s="298">
        <f t="shared" si="170"/>
        <v>30</v>
      </c>
      <c r="K867" s="299">
        <f t="shared" si="171"/>
        <v>315316</v>
      </c>
      <c r="R867" s="497">
        <f t="shared" si="162"/>
        <v>315316</v>
      </c>
    </row>
    <row r="868" spans="2:18">
      <c r="B868" s="604">
        <f t="shared" si="163"/>
        <v>2764</v>
      </c>
      <c r="C868" s="297">
        <f t="shared" si="161"/>
        <v>27</v>
      </c>
      <c r="D868" s="297">
        <f t="shared" si="164"/>
        <v>4</v>
      </c>
      <c r="E868" s="297">
        <f t="shared" si="165"/>
        <v>9</v>
      </c>
      <c r="F868" s="298">
        <f t="shared" si="166"/>
        <v>0</v>
      </c>
      <c r="G868" s="298">
        <f t="shared" si="167"/>
        <v>6</v>
      </c>
      <c r="H868" s="298">
        <f t="shared" si="168"/>
        <v>18</v>
      </c>
      <c r="I868" s="298">
        <f t="shared" si="169"/>
        <v>3</v>
      </c>
      <c r="J868" s="298">
        <f t="shared" si="170"/>
        <v>21</v>
      </c>
      <c r="K868" s="299">
        <f t="shared" si="171"/>
        <v>315673</v>
      </c>
      <c r="R868" s="497">
        <f t="shared" si="162"/>
        <v>315673</v>
      </c>
    </row>
    <row r="869" spans="2:18">
      <c r="B869" s="604">
        <f t="shared" si="163"/>
        <v>2765</v>
      </c>
      <c r="C869" s="297">
        <f t="shared" si="161"/>
        <v>27</v>
      </c>
      <c r="D869" s="297">
        <f t="shared" si="164"/>
        <v>4</v>
      </c>
      <c r="E869" s="297">
        <f t="shared" si="165"/>
        <v>10</v>
      </c>
      <c r="F869" s="298">
        <f t="shared" si="166"/>
        <v>1</v>
      </c>
      <c r="G869" s="298">
        <f t="shared" si="167"/>
        <v>0</v>
      </c>
      <c r="H869" s="298">
        <f t="shared" si="168"/>
        <v>7</v>
      </c>
      <c r="I869" s="298">
        <f t="shared" si="169"/>
        <v>6</v>
      </c>
      <c r="J869" s="298">
        <f t="shared" si="170"/>
        <v>13</v>
      </c>
      <c r="K869" s="299">
        <f t="shared" si="171"/>
        <v>316030</v>
      </c>
      <c r="R869" s="497">
        <f t="shared" si="162"/>
        <v>316030</v>
      </c>
    </row>
    <row r="870" spans="2:18">
      <c r="B870" s="604">
        <f t="shared" si="163"/>
        <v>2766</v>
      </c>
      <c r="C870" s="297">
        <f t="shared" si="161"/>
        <v>27</v>
      </c>
      <c r="D870" s="297">
        <f t="shared" si="164"/>
        <v>4</v>
      </c>
      <c r="E870" s="297">
        <f t="shared" si="165"/>
        <v>11</v>
      </c>
      <c r="F870" s="298">
        <f t="shared" si="166"/>
        <v>2</v>
      </c>
      <c r="G870" s="298">
        <f t="shared" si="167"/>
        <v>1</v>
      </c>
      <c r="H870" s="298">
        <f t="shared" si="168"/>
        <v>26</v>
      </c>
      <c r="I870" s="298">
        <f t="shared" si="169"/>
        <v>0</v>
      </c>
      <c r="J870" s="298">
        <f t="shared" si="170"/>
        <v>26</v>
      </c>
      <c r="K870" s="299">
        <f t="shared" si="171"/>
        <v>316408</v>
      </c>
      <c r="R870" s="497">
        <f t="shared" si="162"/>
        <v>316408</v>
      </c>
    </row>
    <row r="871" spans="2:18">
      <c r="B871" s="604">
        <f t="shared" si="163"/>
        <v>2767</v>
      </c>
      <c r="C871" s="297">
        <f t="shared" si="161"/>
        <v>27</v>
      </c>
      <c r="D871" s="297">
        <f t="shared" si="164"/>
        <v>4</v>
      </c>
      <c r="E871" s="297">
        <f t="shared" si="165"/>
        <v>12</v>
      </c>
      <c r="F871" s="298">
        <f t="shared" si="166"/>
        <v>3</v>
      </c>
      <c r="G871" s="298">
        <f t="shared" si="167"/>
        <v>2</v>
      </c>
      <c r="H871" s="298">
        <f t="shared" si="168"/>
        <v>15</v>
      </c>
      <c r="I871" s="298">
        <f t="shared" si="169"/>
        <v>3</v>
      </c>
      <c r="J871" s="298">
        <f t="shared" si="170"/>
        <v>18</v>
      </c>
      <c r="K871" s="299">
        <f t="shared" si="171"/>
        <v>316765</v>
      </c>
      <c r="R871" s="497">
        <f t="shared" si="162"/>
        <v>316765</v>
      </c>
    </row>
    <row r="872" spans="2:18">
      <c r="B872" s="604">
        <f t="shared" si="163"/>
        <v>2768</v>
      </c>
      <c r="C872" s="297">
        <f t="shared" si="161"/>
        <v>27</v>
      </c>
      <c r="D872" s="297">
        <f t="shared" si="164"/>
        <v>4</v>
      </c>
      <c r="E872" s="297">
        <f t="shared" si="165"/>
        <v>13</v>
      </c>
      <c r="F872" s="298">
        <f t="shared" si="166"/>
        <v>0</v>
      </c>
      <c r="G872" s="298">
        <f t="shared" si="167"/>
        <v>3</v>
      </c>
      <c r="H872" s="298">
        <f t="shared" si="168"/>
        <v>4</v>
      </c>
      <c r="I872" s="298">
        <f t="shared" si="169"/>
        <v>5</v>
      </c>
      <c r="J872" s="298">
        <f t="shared" si="170"/>
        <v>9</v>
      </c>
      <c r="K872" s="299">
        <f t="shared" si="171"/>
        <v>317122</v>
      </c>
      <c r="R872" s="497">
        <f t="shared" si="162"/>
        <v>317122</v>
      </c>
    </row>
    <row r="873" spans="2:18">
      <c r="B873" s="604">
        <f t="shared" si="163"/>
        <v>2769</v>
      </c>
      <c r="C873" s="297">
        <f t="shared" si="161"/>
        <v>27</v>
      </c>
      <c r="D873" s="297">
        <f t="shared" si="164"/>
        <v>4</v>
      </c>
      <c r="E873" s="297">
        <f t="shared" si="165"/>
        <v>14</v>
      </c>
      <c r="F873" s="298">
        <f t="shared" si="166"/>
        <v>1</v>
      </c>
      <c r="G873" s="298">
        <f t="shared" si="167"/>
        <v>4</v>
      </c>
      <c r="H873" s="298">
        <f t="shared" si="168"/>
        <v>23</v>
      </c>
      <c r="I873" s="298">
        <f t="shared" si="169"/>
        <v>6</v>
      </c>
      <c r="J873" s="298">
        <f t="shared" si="170"/>
        <v>29</v>
      </c>
      <c r="K873" s="299">
        <f t="shared" si="171"/>
        <v>317507</v>
      </c>
      <c r="R873" s="497">
        <f t="shared" si="162"/>
        <v>317507</v>
      </c>
    </row>
    <row r="874" spans="2:18">
      <c r="B874" s="604">
        <f t="shared" si="163"/>
        <v>2770</v>
      </c>
      <c r="C874" s="297">
        <f t="shared" si="161"/>
        <v>27</v>
      </c>
      <c r="D874" s="297">
        <f t="shared" si="164"/>
        <v>4</v>
      </c>
      <c r="E874" s="297">
        <f t="shared" si="165"/>
        <v>15</v>
      </c>
      <c r="F874" s="298">
        <f t="shared" si="166"/>
        <v>2</v>
      </c>
      <c r="G874" s="298">
        <f t="shared" si="167"/>
        <v>5</v>
      </c>
      <c r="H874" s="298">
        <f t="shared" si="168"/>
        <v>12</v>
      </c>
      <c r="I874" s="298">
        <f t="shared" si="169"/>
        <v>2</v>
      </c>
      <c r="J874" s="298">
        <f t="shared" si="170"/>
        <v>14</v>
      </c>
      <c r="K874" s="299">
        <f t="shared" si="171"/>
        <v>317857</v>
      </c>
      <c r="R874" s="497">
        <f t="shared" si="162"/>
        <v>317857</v>
      </c>
    </row>
    <row r="875" spans="2:18">
      <c r="B875" s="604">
        <f t="shared" si="163"/>
        <v>2771</v>
      </c>
      <c r="C875" s="297">
        <f t="shared" si="161"/>
        <v>27</v>
      </c>
      <c r="D875" s="297">
        <f t="shared" si="164"/>
        <v>4</v>
      </c>
      <c r="E875" s="297">
        <f t="shared" si="165"/>
        <v>16</v>
      </c>
      <c r="F875" s="298">
        <f t="shared" si="166"/>
        <v>3</v>
      </c>
      <c r="G875" s="298">
        <f t="shared" si="167"/>
        <v>6</v>
      </c>
      <c r="H875" s="298">
        <f t="shared" si="168"/>
        <v>1</v>
      </c>
      <c r="I875" s="298">
        <f t="shared" si="169"/>
        <v>5</v>
      </c>
      <c r="J875" s="298">
        <f t="shared" si="170"/>
        <v>6</v>
      </c>
      <c r="K875" s="299">
        <f t="shared" si="171"/>
        <v>318214</v>
      </c>
      <c r="R875" s="497">
        <f t="shared" si="162"/>
        <v>318214</v>
      </c>
    </row>
    <row r="876" spans="2:18">
      <c r="B876" s="604">
        <f t="shared" si="163"/>
        <v>2772</v>
      </c>
      <c r="C876" s="297">
        <f t="shared" si="161"/>
        <v>27</v>
      </c>
      <c r="D876" s="297">
        <f t="shared" si="164"/>
        <v>4</v>
      </c>
      <c r="E876" s="297">
        <f t="shared" si="165"/>
        <v>17</v>
      </c>
      <c r="F876" s="298">
        <f t="shared" si="166"/>
        <v>0</v>
      </c>
      <c r="G876" s="298">
        <f t="shared" si="167"/>
        <v>0</v>
      </c>
      <c r="H876" s="298">
        <f t="shared" si="168"/>
        <v>20</v>
      </c>
      <c r="I876" s="298">
        <f t="shared" si="169"/>
        <v>5</v>
      </c>
      <c r="J876" s="298">
        <f t="shared" si="170"/>
        <v>25</v>
      </c>
      <c r="K876" s="299">
        <f t="shared" si="171"/>
        <v>318599</v>
      </c>
      <c r="R876" s="497">
        <f t="shared" si="162"/>
        <v>318599</v>
      </c>
    </row>
    <row r="877" spans="2:18">
      <c r="B877" s="604">
        <f t="shared" si="163"/>
        <v>2773</v>
      </c>
      <c r="C877" s="297">
        <f t="shared" si="161"/>
        <v>27</v>
      </c>
      <c r="D877" s="297">
        <f t="shared" si="164"/>
        <v>4</v>
      </c>
      <c r="E877" s="297">
        <f t="shared" si="165"/>
        <v>18</v>
      </c>
      <c r="F877" s="298">
        <f t="shared" si="166"/>
        <v>1</v>
      </c>
      <c r="G877" s="298">
        <f t="shared" si="167"/>
        <v>1</v>
      </c>
      <c r="H877" s="298">
        <f t="shared" si="168"/>
        <v>9</v>
      </c>
      <c r="I877" s="298">
        <f t="shared" si="169"/>
        <v>1</v>
      </c>
      <c r="J877" s="298">
        <f t="shared" si="170"/>
        <v>10</v>
      </c>
      <c r="K877" s="299">
        <f t="shared" si="171"/>
        <v>318949</v>
      </c>
      <c r="R877" s="497">
        <f t="shared" si="162"/>
        <v>318949</v>
      </c>
    </row>
    <row r="878" spans="2:18">
      <c r="B878" s="604">
        <f t="shared" si="163"/>
        <v>2774</v>
      </c>
      <c r="C878" s="297">
        <f t="shared" si="161"/>
        <v>27</v>
      </c>
      <c r="D878" s="297">
        <f t="shared" si="164"/>
        <v>4</v>
      </c>
      <c r="E878" s="297">
        <f t="shared" si="165"/>
        <v>0</v>
      </c>
      <c r="F878" s="298">
        <f t="shared" si="166"/>
        <v>2</v>
      </c>
      <c r="G878" s="298">
        <f t="shared" si="167"/>
        <v>2</v>
      </c>
      <c r="H878" s="298">
        <f t="shared" si="168"/>
        <v>27</v>
      </c>
      <c r="I878" s="298">
        <f t="shared" si="169"/>
        <v>3</v>
      </c>
      <c r="J878" s="298">
        <f t="shared" si="170"/>
        <v>30</v>
      </c>
      <c r="K878" s="299">
        <f t="shared" si="171"/>
        <v>319334</v>
      </c>
      <c r="R878" s="497">
        <f t="shared" si="162"/>
        <v>319334</v>
      </c>
    </row>
    <row r="879" spans="2:18">
      <c r="B879" s="604">
        <f t="shared" si="163"/>
        <v>2775</v>
      </c>
      <c r="C879" s="297">
        <f t="shared" si="161"/>
        <v>27</v>
      </c>
      <c r="D879" s="297">
        <f t="shared" si="164"/>
        <v>4</v>
      </c>
      <c r="E879" s="297">
        <f t="shared" si="165"/>
        <v>1</v>
      </c>
      <c r="F879" s="298">
        <f t="shared" si="166"/>
        <v>3</v>
      </c>
      <c r="G879" s="298">
        <f t="shared" si="167"/>
        <v>3</v>
      </c>
      <c r="H879" s="298">
        <f t="shared" si="168"/>
        <v>16</v>
      </c>
      <c r="I879" s="298">
        <f t="shared" si="169"/>
        <v>6</v>
      </c>
      <c r="J879" s="298">
        <f t="shared" si="170"/>
        <v>22</v>
      </c>
      <c r="K879" s="299">
        <f t="shared" si="171"/>
        <v>319691</v>
      </c>
      <c r="R879" s="497">
        <f t="shared" si="162"/>
        <v>319691</v>
      </c>
    </row>
    <row r="880" spans="2:18">
      <c r="B880" s="604">
        <f t="shared" si="163"/>
        <v>2776</v>
      </c>
      <c r="C880" s="297">
        <f t="shared" si="161"/>
        <v>27</v>
      </c>
      <c r="D880" s="297">
        <f t="shared" si="164"/>
        <v>4</v>
      </c>
      <c r="E880" s="297">
        <f t="shared" si="165"/>
        <v>2</v>
      </c>
      <c r="F880" s="298">
        <f t="shared" si="166"/>
        <v>0</v>
      </c>
      <c r="G880" s="298">
        <f t="shared" si="167"/>
        <v>4</v>
      </c>
      <c r="H880" s="298">
        <f t="shared" si="168"/>
        <v>5</v>
      </c>
      <c r="I880" s="298">
        <f t="shared" si="169"/>
        <v>1</v>
      </c>
      <c r="J880" s="298">
        <f t="shared" si="170"/>
        <v>6</v>
      </c>
      <c r="K880" s="299">
        <f t="shared" si="171"/>
        <v>320041</v>
      </c>
      <c r="R880" s="497">
        <f t="shared" si="162"/>
        <v>320041</v>
      </c>
    </row>
    <row r="881" spans="2:18">
      <c r="B881" s="604">
        <f t="shared" si="163"/>
        <v>2777</v>
      </c>
      <c r="C881" s="297">
        <f t="shared" si="161"/>
        <v>27</v>
      </c>
      <c r="D881" s="297">
        <f t="shared" si="164"/>
        <v>4</v>
      </c>
      <c r="E881" s="297">
        <f t="shared" si="165"/>
        <v>3</v>
      </c>
      <c r="F881" s="298">
        <f t="shared" si="166"/>
        <v>1</v>
      </c>
      <c r="G881" s="298">
        <f t="shared" si="167"/>
        <v>5</v>
      </c>
      <c r="H881" s="298">
        <f t="shared" si="168"/>
        <v>24</v>
      </c>
      <c r="I881" s="298">
        <f t="shared" si="169"/>
        <v>2</v>
      </c>
      <c r="J881" s="298">
        <f t="shared" si="170"/>
        <v>26</v>
      </c>
      <c r="K881" s="299">
        <f t="shared" si="171"/>
        <v>320426</v>
      </c>
      <c r="R881" s="497">
        <f t="shared" si="162"/>
        <v>320426</v>
      </c>
    </row>
    <row r="882" spans="2:18">
      <c r="B882" s="604">
        <f t="shared" si="163"/>
        <v>2778</v>
      </c>
      <c r="C882" s="297">
        <f t="shared" si="161"/>
        <v>27</v>
      </c>
      <c r="D882" s="297">
        <f t="shared" si="164"/>
        <v>4</v>
      </c>
      <c r="E882" s="297">
        <f t="shared" si="165"/>
        <v>4</v>
      </c>
      <c r="F882" s="298">
        <f t="shared" si="166"/>
        <v>2</v>
      </c>
      <c r="G882" s="298">
        <f t="shared" si="167"/>
        <v>6</v>
      </c>
      <c r="H882" s="298">
        <f t="shared" si="168"/>
        <v>13</v>
      </c>
      <c r="I882" s="298">
        <f t="shared" si="169"/>
        <v>5</v>
      </c>
      <c r="J882" s="298">
        <f t="shared" si="170"/>
        <v>18</v>
      </c>
      <c r="K882" s="299">
        <f t="shared" si="171"/>
        <v>320783</v>
      </c>
      <c r="R882" s="497">
        <f t="shared" si="162"/>
        <v>320783</v>
      </c>
    </row>
    <row r="883" spans="2:18">
      <c r="B883" s="604">
        <f t="shared" si="163"/>
        <v>2779</v>
      </c>
      <c r="C883" s="297">
        <f t="shared" si="161"/>
        <v>27</v>
      </c>
      <c r="D883" s="297">
        <f t="shared" si="164"/>
        <v>4</v>
      </c>
      <c r="E883" s="297">
        <f t="shared" si="165"/>
        <v>5</v>
      </c>
      <c r="F883" s="298">
        <f t="shared" si="166"/>
        <v>3</v>
      </c>
      <c r="G883" s="298">
        <f t="shared" si="167"/>
        <v>0</v>
      </c>
      <c r="H883" s="298">
        <f t="shared" si="168"/>
        <v>2</v>
      </c>
      <c r="I883" s="298">
        <f t="shared" si="169"/>
        <v>1</v>
      </c>
      <c r="J883" s="298">
        <f t="shared" si="170"/>
        <v>3</v>
      </c>
      <c r="K883" s="299">
        <f t="shared" si="171"/>
        <v>321133</v>
      </c>
      <c r="R883" s="497">
        <f t="shared" si="162"/>
        <v>321133</v>
      </c>
    </row>
    <row r="884" spans="2:18">
      <c r="B884" s="604">
        <f t="shared" si="163"/>
        <v>2780</v>
      </c>
      <c r="C884" s="297">
        <f t="shared" si="161"/>
        <v>27</v>
      </c>
      <c r="D884" s="297">
        <f t="shared" si="164"/>
        <v>4</v>
      </c>
      <c r="E884" s="297">
        <f t="shared" si="165"/>
        <v>6</v>
      </c>
      <c r="F884" s="298">
        <f t="shared" si="166"/>
        <v>0</v>
      </c>
      <c r="G884" s="298">
        <f t="shared" si="167"/>
        <v>1</v>
      </c>
      <c r="H884" s="298">
        <f t="shared" si="168"/>
        <v>21</v>
      </c>
      <c r="I884" s="298">
        <f t="shared" si="169"/>
        <v>1</v>
      </c>
      <c r="J884" s="298">
        <f t="shared" si="170"/>
        <v>22</v>
      </c>
      <c r="K884" s="299">
        <f t="shared" si="171"/>
        <v>321518</v>
      </c>
      <c r="R884" s="497">
        <f t="shared" si="162"/>
        <v>321518</v>
      </c>
    </row>
    <row r="885" spans="2:18">
      <c r="B885" s="604">
        <f t="shared" si="163"/>
        <v>2781</v>
      </c>
      <c r="C885" s="297">
        <f t="shared" si="161"/>
        <v>27</v>
      </c>
      <c r="D885" s="297">
        <f t="shared" si="164"/>
        <v>4</v>
      </c>
      <c r="E885" s="297">
        <f t="shared" si="165"/>
        <v>7</v>
      </c>
      <c r="F885" s="298">
        <f t="shared" si="166"/>
        <v>1</v>
      </c>
      <c r="G885" s="298">
        <f t="shared" si="167"/>
        <v>2</v>
      </c>
      <c r="H885" s="298">
        <f t="shared" si="168"/>
        <v>10</v>
      </c>
      <c r="I885" s="298">
        <f t="shared" si="169"/>
        <v>4</v>
      </c>
      <c r="J885" s="298">
        <f t="shared" si="170"/>
        <v>14</v>
      </c>
      <c r="K885" s="299">
        <f t="shared" si="171"/>
        <v>321875</v>
      </c>
      <c r="R885" s="497">
        <f t="shared" si="162"/>
        <v>321875</v>
      </c>
    </row>
    <row r="886" spans="2:18">
      <c r="B886" s="604">
        <f t="shared" si="163"/>
        <v>2782</v>
      </c>
      <c r="C886" s="297">
        <f t="shared" si="161"/>
        <v>27</v>
      </c>
      <c r="D886" s="297">
        <f t="shared" si="164"/>
        <v>4</v>
      </c>
      <c r="E886" s="297">
        <f t="shared" si="165"/>
        <v>8</v>
      </c>
      <c r="F886" s="298">
        <f t="shared" si="166"/>
        <v>2</v>
      </c>
      <c r="G886" s="298">
        <f t="shared" si="167"/>
        <v>3</v>
      </c>
      <c r="H886" s="298">
        <f t="shared" si="168"/>
        <v>29</v>
      </c>
      <c r="I886" s="298">
        <f t="shared" si="169"/>
        <v>5</v>
      </c>
      <c r="J886" s="298">
        <f t="shared" si="170"/>
        <v>34</v>
      </c>
      <c r="K886" s="299">
        <f t="shared" si="171"/>
        <v>322260</v>
      </c>
      <c r="R886" s="497">
        <f t="shared" si="162"/>
        <v>322260</v>
      </c>
    </row>
    <row r="887" spans="2:18">
      <c r="B887" s="604">
        <f t="shared" si="163"/>
        <v>2783</v>
      </c>
      <c r="C887" s="297">
        <f t="shared" si="161"/>
        <v>27</v>
      </c>
      <c r="D887" s="297">
        <f t="shared" si="164"/>
        <v>4</v>
      </c>
      <c r="E887" s="297">
        <f t="shared" si="165"/>
        <v>9</v>
      </c>
      <c r="F887" s="298">
        <f t="shared" si="166"/>
        <v>3</v>
      </c>
      <c r="G887" s="298">
        <f t="shared" si="167"/>
        <v>4</v>
      </c>
      <c r="H887" s="298">
        <f t="shared" si="168"/>
        <v>18</v>
      </c>
      <c r="I887" s="298">
        <f t="shared" si="169"/>
        <v>1</v>
      </c>
      <c r="J887" s="298">
        <f t="shared" si="170"/>
        <v>19</v>
      </c>
      <c r="K887" s="299">
        <f t="shared" si="171"/>
        <v>322610</v>
      </c>
      <c r="R887" s="497">
        <f t="shared" si="162"/>
        <v>322610</v>
      </c>
    </row>
    <row r="888" spans="2:18">
      <c r="B888" s="604">
        <f t="shared" si="163"/>
        <v>2784</v>
      </c>
      <c r="C888" s="297">
        <f t="shared" si="161"/>
        <v>27</v>
      </c>
      <c r="D888" s="297">
        <f t="shared" si="164"/>
        <v>4</v>
      </c>
      <c r="E888" s="297">
        <f t="shared" si="165"/>
        <v>10</v>
      </c>
      <c r="F888" s="298">
        <f t="shared" si="166"/>
        <v>0</v>
      </c>
      <c r="G888" s="298">
        <f t="shared" si="167"/>
        <v>5</v>
      </c>
      <c r="H888" s="298">
        <f t="shared" si="168"/>
        <v>7</v>
      </c>
      <c r="I888" s="298">
        <f t="shared" si="169"/>
        <v>3</v>
      </c>
      <c r="J888" s="298">
        <f t="shared" si="170"/>
        <v>10</v>
      </c>
      <c r="K888" s="299">
        <f t="shared" si="171"/>
        <v>322967</v>
      </c>
      <c r="R888" s="497">
        <f t="shared" si="162"/>
        <v>322967</v>
      </c>
    </row>
    <row r="889" spans="2:18">
      <c r="B889" s="604">
        <f t="shared" si="163"/>
        <v>2785</v>
      </c>
      <c r="C889" s="297">
        <f t="shared" si="161"/>
        <v>27</v>
      </c>
      <c r="D889" s="297">
        <f t="shared" si="164"/>
        <v>4</v>
      </c>
      <c r="E889" s="297">
        <f t="shared" si="165"/>
        <v>11</v>
      </c>
      <c r="F889" s="298">
        <f t="shared" si="166"/>
        <v>1</v>
      </c>
      <c r="G889" s="298">
        <f t="shared" si="167"/>
        <v>6</v>
      </c>
      <c r="H889" s="298">
        <f t="shared" si="168"/>
        <v>26</v>
      </c>
      <c r="I889" s="298">
        <f t="shared" si="169"/>
        <v>4</v>
      </c>
      <c r="J889" s="298">
        <f t="shared" si="170"/>
        <v>30</v>
      </c>
      <c r="K889" s="299">
        <f t="shared" si="171"/>
        <v>323352</v>
      </c>
      <c r="R889" s="497">
        <f t="shared" si="162"/>
        <v>323352</v>
      </c>
    </row>
    <row r="890" spans="2:18">
      <c r="B890" s="604">
        <f t="shared" si="163"/>
        <v>2786</v>
      </c>
      <c r="C890" s="297">
        <f t="shared" si="161"/>
        <v>27</v>
      </c>
      <c r="D890" s="297">
        <f t="shared" si="164"/>
        <v>4</v>
      </c>
      <c r="E890" s="297">
        <f t="shared" si="165"/>
        <v>12</v>
      </c>
      <c r="F890" s="298">
        <f t="shared" si="166"/>
        <v>2</v>
      </c>
      <c r="G890" s="298">
        <f t="shared" si="167"/>
        <v>0</v>
      </c>
      <c r="H890" s="298">
        <f t="shared" si="168"/>
        <v>15</v>
      </c>
      <c r="I890" s="298">
        <f t="shared" si="169"/>
        <v>0</v>
      </c>
      <c r="J890" s="298">
        <f t="shared" si="170"/>
        <v>15</v>
      </c>
      <c r="K890" s="299">
        <f t="shared" si="171"/>
        <v>323702</v>
      </c>
      <c r="R890" s="497">
        <f t="shared" si="162"/>
        <v>323702</v>
      </c>
    </row>
    <row r="891" spans="2:18">
      <c r="B891" s="604">
        <f t="shared" si="163"/>
        <v>2787</v>
      </c>
      <c r="C891" s="297">
        <f t="shared" si="161"/>
        <v>27</v>
      </c>
      <c r="D891" s="297">
        <f t="shared" si="164"/>
        <v>4</v>
      </c>
      <c r="E891" s="297">
        <f t="shared" si="165"/>
        <v>13</v>
      </c>
      <c r="F891" s="298">
        <f t="shared" si="166"/>
        <v>3</v>
      </c>
      <c r="G891" s="298">
        <f t="shared" si="167"/>
        <v>1</v>
      </c>
      <c r="H891" s="298">
        <f t="shared" si="168"/>
        <v>4</v>
      </c>
      <c r="I891" s="298">
        <f t="shared" si="169"/>
        <v>3</v>
      </c>
      <c r="J891" s="298">
        <f t="shared" si="170"/>
        <v>7</v>
      </c>
      <c r="K891" s="299">
        <f t="shared" si="171"/>
        <v>324059</v>
      </c>
      <c r="R891" s="497">
        <f t="shared" si="162"/>
        <v>324059</v>
      </c>
    </row>
    <row r="892" spans="2:18">
      <c r="B892" s="604">
        <f t="shared" si="163"/>
        <v>2788</v>
      </c>
      <c r="C892" s="297">
        <f t="shared" si="161"/>
        <v>27</v>
      </c>
      <c r="D892" s="297">
        <f t="shared" si="164"/>
        <v>4</v>
      </c>
      <c r="E892" s="297">
        <f t="shared" si="165"/>
        <v>14</v>
      </c>
      <c r="F892" s="298">
        <f t="shared" si="166"/>
        <v>0</v>
      </c>
      <c r="G892" s="298">
        <f t="shared" si="167"/>
        <v>2</v>
      </c>
      <c r="H892" s="298">
        <f t="shared" si="168"/>
        <v>23</v>
      </c>
      <c r="I892" s="298">
        <f t="shared" si="169"/>
        <v>3</v>
      </c>
      <c r="J892" s="298">
        <f t="shared" si="170"/>
        <v>26</v>
      </c>
      <c r="K892" s="299">
        <f t="shared" si="171"/>
        <v>324444</v>
      </c>
      <c r="R892" s="497">
        <f t="shared" si="162"/>
        <v>324444</v>
      </c>
    </row>
    <row r="893" spans="2:18">
      <c r="B893" s="604">
        <f t="shared" si="163"/>
        <v>2789</v>
      </c>
      <c r="C893" s="297">
        <f t="shared" si="161"/>
        <v>27</v>
      </c>
      <c r="D893" s="297">
        <f t="shared" si="164"/>
        <v>4</v>
      </c>
      <c r="E893" s="297">
        <f t="shared" si="165"/>
        <v>15</v>
      </c>
      <c r="F893" s="298">
        <f t="shared" si="166"/>
        <v>1</v>
      </c>
      <c r="G893" s="298">
        <f t="shared" si="167"/>
        <v>3</v>
      </c>
      <c r="H893" s="298">
        <f t="shared" si="168"/>
        <v>12</v>
      </c>
      <c r="I893" s="298">
        <f t="shared" si="169"/>
        <v>6</v>
      </c>
      <c r="J893" s="298">
        <f t="shared" si="170"/>
        <v>18</v>
      </c>
      <c r="K893" s="299">
        <f t="shared" si="171"/>
        <v>324801</v>
      </c>
      <c r="R893" s="497">
        <f t="shared" si="162"/>
        <v>324801</v>
      </c>
    </row>
    <row r="894" spans="2:18">
      <c r="B894" s="604">
        <f t="shared" si="163"/>
        <v>2790</v>
      </c>
      <c r="C894" s="297">
        <f t="shared" si="161"/>
        <v>27</v>
      </c>
      <c r="D894" s="297">
        <f t="shared" si="164"/>
        <v>4</v>
      </c>
      <c r="E894" s="297">
        <f t="shared" si="165"/>
        <v>16</v>
      </c>
      <c r="F894" s="298">
        <f t="shared" si="166"/>
        <v>2</v>
      </c>
      <c r="G894" s="298">
        <f t="shared" si="167"/>
        <v>4</v>
      </c>
      <c r="H894" s="298">
        <f t="shared" si="168"/>
        <v>1</v>
      </c>
      <c r="I894" s="298">
        <f t="shared" si="169"/>
        <v>2</v>
      </c>
      <c r="J894" s="298">
        <f t="shared" si="170"/>
        <v>3</v>
      </c>
      <c r="K894" s="299">
        <f t="shared" si="171"/>
        <v>325151</v>
      </c>
      <c r="R894" s="497">
        <f t="shared" si="162"/>
        <v>325151</v>
      </c>
    </row>
    <row r="895" spans="2:18">
      <c r="B895" s="604">
        <f t="shared" si="163"/>
        <v>2791</v>
      </c>
      <c r="C895" s="297">
        <f t="shared" si="161"/>
        <v>27</v>
      </c>
      <c r="D895" s="297">
        <f t="shared" si="164"/>
        <v>4</v>
      </c>
      <c r="E895" s="297">
        <f t="shared" si="165"/>
        <v>17</v>
      </c>
      <c r="F895" s="298">
        <f t="shared" si="166"/>
        <v>3</v>
      </c>
      <c r="G895" s="298">
        <f t="shared" si="167"/>
        <v>5</v>
      </c>
      <c r="H895" s="298">
        <f t="shared" si="168"/>
        <v>20</v>
      </c>
      <c r="I895" s="298">
        <f t="shared" si="169"/>
        <v>3</v>
      </c>
      <c r="J895" s="298">
        <f t="shared" si="170"/>
        <v>23</v>
      </c>
      <c r="K895" s="299">
        <f t="shared" si="171"/>
        <v>325536</v>
      </c>
      <c r="R895" s="497">
        <f t="shared" si="162"/>
        <v>325536</v>
      </c>
    </row>
    <row r="896" spans="2:18">
      <c r="B896" s="604">
        <f t="shared" si="163"/>
        <v>2792</v>
      </c>
      <c r="C896" s="297">
        <f t="shared" si="161"/>
        <v>27</v>
      </c>
      <c r="D896" s="297">
        <f t="shared" si="164"/>
        <v>4</v>
      </c>
      <c r="E896" s="297">
        <f t="shared" si="165"/>
        <v>18</v>
      </c>
      <c r="F896" s="298">
        <f t="shared" si="166"/>
        <v>0</v>
      </c>
      <c r="G896" s="298">
        <f t="shared" si="167"/>
        <v>6</v>
      </c>
      <c r="H896" s="298">
        <f t="shared" si="168"/>
        <v>9</v>
      </c>
      <c r="I896" s="298">
        <f t="shared" si="169"/>
        <v>5</v>
      </c>
      <c r="J896" s="298">
        <f t="shared" si="170"/>
        <v>14</v>
      </c>
      <c r="K896" s="299">
        <f t="shared" si="171"/>
        <v>325893</v>
      </c>
      <c r="R896" s="497">
        <f t="shared" si="162"/>
        <v>325893</v>
      </c>
    </row>
    <row r="897" spans="2:18">
      <c r="B897" s="604">
        <f t="shared" si="163"/>
        <v>2793</v>
      </c>
      <c r="C897" s="297">
        <f t="shared" si="161"/>
        <v>27</v>
      </c>
      <c r="D897" s="297">
        <f t="shared" si="164"/>
        <v>4</v>
      </c>
      <c r="E897" s="297">
        <f t="shared" si="165"/>
        <v>0</v>
      </c>
      <c r="F897" s="298">
        <f t="shared" si="166"/>
        <v>1</v>
      </c>
      <c r="G897" s="298">
        <f t="shared" si="167"/>
        <v>0</v>
      </c>
      <c r="H897" s="298">
        <f t="shared" si="168"/>
        <v>27</v>
      </c>
      <c r="I897" s="298">
        <f t="shared" si="169"/>
        <v>0</v>
      </c>
      <c r="J897" s="298">
        <f t="shared" si="170"/>
        <v>27</v>
      </c>
      <c r="K897" s="299">
        <f t="shared" si="171"/>
        <v>326271</v>
      </c>
      <c r="R897" s="497">
        <f t="shared" si="162"/>
        <v>326271</v>
      </c>
    </row>
    <row r="898" spans="2:18">
      <c r="B898" s="604">
        <f t="shared" si="163"/>
        <v>2794</v>
      </c>
      <c r="C898" s="297">
        <f t="shared" si="161"/>
        <v>27</v>
      </c>
      <c r="D898" s="297">
        <f t="shared" si="164"/>
        <v>4</v>
      </c>
      <c r="E898" s="297">
        <f t="shared" si="165"/>
        <v>1</v>
      </c>
      <c r="F898" s="298">
        <f t="shared" si="166"/>
        <v>2</v>
      </c>
      <c r="G898" s="298">
        <f t="shared" si="167"/>
        <v>1</v>
      </c>
      <c r="H898" s="298">
        <f t="shared" si="168"/>
        <v>16</v>
      </c>
      <c r="I898" s="298">
        <f t="shared" si="169"/>
        <v>3</v>
      </c>
      <c r="J898" s="298">
        <f t="shared" si="170"/>
        <v>19</v>
      </c>
      <c r="K898" s="299">
        <f t="shared" si="171"/>
        <v>326628</v>
      </c>
      <c r="R898" s="497">
        <f t="shared" si="162"/>
        <v>326628</v>
      </c>
    </row>
    <row r="899" spans="2:18">
      <c r="B899" s="604">
        <f t="shared" si="163"/>
        <v>2795</v>
      </c>
      <c r="C899" s="297">
        <f t="shared" si="161"/>
        <v>27</v>
      </c>
      <c r="D899" s="297">
        <f t="shared" si="164"/>
        <v>4</v>
      </c>
      <c r="E899" s="297">
        <f t="shared" si="165"/>
        <v>2</v>
      </c>
      <c r="F899" s="298">
        <f t="shared" si="166"/>
        <v>3</v>
      </c>
      <c r="G899" s="298">
        <f t="shared" si="167"/>
        <v>2</v>
      </c>
      <c r="H899" s="298">
        <f t="shared" si="168"/>
        <v>5</v>
      </c>
      <c r="I899" s="298">
        <f t="shared" si="169"/>
        <v>6</v>
      </c>
      <c r="J899" s="298">
        <f t="shared" si="170"/>
        <v>11</v>
      </c>
      <c r="K899" s="299">
        <f t="shared" si="171"/>
        <v>326985</v>
      </c>
      <c r="R899" s="497">
        <f t="shared" si="162"/>
        <v>326985</v>
      </c>
    </row>
    <row r="900" spans="2:18">
      <c r="B900" s="604">
        <f t="shared" si="163"/>
        <v>2796</v>
      </c>
      <c r="C900" s="297">
        <f t="shared" si="161"/>
        <v>27</v>
      </c>
      <c r="D900" s="297">
        <f t="shared" si="164"/>
        <v>4</v>
      </c>
      <c r="E900" s="297">
        <f t="shared" si="165"/>
        <v>3</v>
      </c>
      <c r="F900" s="298">
        <f t="shared" si="166"/>
        <v>0</v>
      </c>
      <c r="G900" s="298">
        <f t="shared" si="167"/>
        <v>3</v>
      </c>
      <c r="H900" s="298">
        <f t="shared" si="168"/>
        <v>24</v>
      </c>
      <c r="I900" s="298">
        <f t="shared" si="169"/>
        <v>6</v>
      </c>
      <c r="J900" s="298">
        <f t="shared" si="170"/>
        <v>30</v>
      </c>
      <c r="K900" s="299">
        <f t="shared" si="171"/>
        <v>327370</v>
      </c>
      <c r="R900" s="497">
        <f t="shared" si="162"/>
        <v>327370</v>
      </c>
    </row>
    <row r="901" spans="2:18">
      <c r="B901" s="604">
        <f t="shared" si="163"/>
        <v>2797</v>
      </c>
      <c r="C901" s="297">
        <f t="shared" ref="C901:C964" si="172">VLOOKUP(B901,$M$4:$P$86,3,TRUE)</f>
        <v>27</v>
      </c>
      <c r="D901" s="297">
        <f t="shared" si="164"/>
        <v>4</v>
      </c>
      <c r="E901" s="297">
        <f t="shared" si="165"/>
        <v>4</v>
      </c>
      <c r="F901" s="298">
        <f t="shared" si="166"/>
        <v>1</v>
      </c>
      <c r="G901" s="298">
        <f t="shared" si="167"/>
        <v>4</v>
      </c>
      <c r="H901" s="298">
        <f t="shared" si="168"/>
        <v>13</v>
      </c>
      <c r="I901" s="298">
        <f t="shared" si="169"/>
        <v>2</v>
      </c>
      <c r="J901" s="298">
        <f t="shared" si="170"/>
        <v>15</v>
      </c>
      <c r="K901" s="299">
        <f t="shared" si="171"/>
        <v>327720</v>
      </c>
      <c r="R901" s="497">
        <f t="shared" ref="R901:R964" si="173">IF(MOD(19*MOD(B901,19)+C901,30)+MOD(2*MOD(B901,4)+4*MOD(B901,7)+6*MOD(19*MOD(B901,19)+C901,30)+D901,7)-9&lt;=0,DATE(B901,3,22+MOD(19*MOD(B901,19)+C901,30)+MOD(2*MOD(B901,4)+4*MOD(B901,7)+6*MOD(19*MOD(B901,19)+C901,30)+D901,7)),DATE(B901,4,MOD(19*MOD(B901,19)+C901,30)+MOD(2*MOD(B901,4)+4*MOD(B901,7)+6*MOD(19*MOD(B901,19)+C901,30)+D901,7)-9))</f>
        <v>327720</v>
      </c>
    </row>
    <row r="902" spans="2:18">
      <c r="B902" s="604">
        <f t="shared" ref="B902:B965" si="174">B901+1</f>
        <v>2798</v>
      </c>
      <c r="C902" s="297">
        <f t="shared" si="172"/>
        <v>27</v>
      </c>
      <c r="D902" s="297">
        <f t="shared" si="164"/>
        <v>4</v>
      </c>
      <c r="E902" s="297">
        <f t="shared" si="165"/>
        <v>5</v>
      </c>
      <c r="F902" s="298">
        <f t="shared" si="166"/>
        <v>2</v>
      </c>
      <c r="G902" s="298">
        <f t="shared" si="167"/>
        <v>5</v>
      </c>
      <c r="H902" s="298">
        <f t="shared" si="168"/>
        <v>2</v>
      </c>
      <c r="I902" s="298">
        <f t="shared" si="169"/>
        <v>5</v>
      </c>
      <c r="J902" s="298">
        <f t="shared" si="170"/>
        <v>7</v>
      </c>
      <c r="K902" s="299">
        <f t="shared" si="171"/>
        <v>328077</v>
      </c>
      <c r="R902" s="497">
        <f t="shared" si="173"/>
        <v>328077</v>
      </c>
    </row>
    <row r="903" spans="2:18">
      <c r="B903" s="604">
        <f t="shared" si="174"/>
        <v>2799</v>
      </c>
      <c r="C903" s="297">
        <f t="shared" si="172"/>
        <v>27</v>
      </c>
      <c r="D903" s="297">
        <f t="shared" si="164"/>
        <v>4</v>
      </c>
      <c r="E903" s="297">
        <f t="shared" si="165"/>
        <v>6</v>
      </c>
      <c r="F903" s="298">
        <f t="shared" si="166"/>
        <v>3</v>
      </c>
      <c r="G903" s="298">
        <f t="shared" si="167"/>
        <v>6</v>
      </c>
      <c r="H903" s="298">
        <f t="shared" si="168"/>
        <v>21</v>
      </c>
      <c r="I903" s="298">
        <f t="shared" si="169"/>
        <v>6</v>
      </c>
      <c r="J903" s="298">
        <f t="shared" si="170"/>
        <v>27</v>
      </c>
      <c r="K903" s="299">
        <f t="shared" si="171"/>
        <v>328462</v>
      </c>
      <c r="R903" s="497">
        <f t="shared" si="173"/>
        <v>328462</v>
      </c>
    </row>
    <row r="904" spans="2:18">
      <c r="B904" s="604">
        <f t="shared" si="174"/>
        <v>2800</v>
      </c>
      <c r="C904" s="297">
        <f t="shared" si="172"/>
        <v>27</v>
      </c>
      <c r="D904" s="297">
        <f t="shared" si="164"/>
        <v>4</v>
      </c>
      <c r="E904" s="297">
        <f t="shared" si="165"/>
        <v>7</v>
      </c>
      <c r="F904" s="298">
        <f t="shared" si="166"/>
        <v>0</v>
      </c>
      <c r="G904" s="298">
        <f t="shared" si="167"/>
        <v>0</v>
      </c>
      <c r="H904" s="298">
        <f t="shared" si="168"/>
        <v>10</v>
      </c>
      <c r="I904" s="298">
        <f t="shared" si="169"/>
        <v>1</v>
      </c>
      <c r="J904" s="298">
        <f t="shared" si="170"/>
        <v>11</v>
      </c>
      <c r="K904" s="299">
        <f t="shared" si="171"/>
        <v>328812</v>
      </c>
      <c r="R904" s="497">
        <f t="shared" si="173"/>
        <v>328812</v>
      </c>
    </row>
    <row r="905" spans="2:18">
      <c r="B905" s="604">
        <f t="shared" si="174"/>
        <v>2801</v>
      </c>
      <c r="C905" s="297">
        <f t="shared" si="172"/>
        <v>27</v>
      </c>
      <c r="D905" s="297">
        <f t="shared" si="164"/>
        <v>4</v>
      </c>
      <c r="E905" s="297">
        <f t="shared" si="165"/>
        <v>8</v>
      </c>
      <c r="F905" s="298">
        <f t="shared" si="166"/>
        <v>1</v>
      </c>
      <c r="G905" s="298">
        <f t="shared" si="167"/>
        <v>1</v>
      </c>
      <c r="H905" s="298">
        <f t="shared" si="168"/>
        <v>29</v>
      </c>
      <c r="I905" s="298">
        <f t="shared" si="169"/>
        <v>2</v>
      </c>
      <c r="J905" s="298">
        <f t="shared" si="170"/>
        <v>31</v>
      </c>
      <c r="K905" s="299">
        <f t="shared" si="171"/>
        <v>329197</v>
      </c>
      <c r="R905" s="497">
        <f t="shared" si="173"/>
        <v>329197</v>
      </c>
    </row>
    <row r="906" spans="2:18">
      <c r="B906" s="604">
        <f t="shared" si="174"/>
        <v>2802</v>
      </c>
      <c r="C906" s="297">
        <f t="shared" si="172"/>
        <v>27</v>
      </c>
      <c r="D906" s="297">
        <f t="shared" ref="D906:D969" si="175">VLOOKUP(B906,$M$4:$P$86,4,TRUE)</f>
        <v>4</v>
      </c>
      <c r="E906" s="297">
        <f t="shared" ref="E906:E969" si="176">MOD(B906,19)</f>
        <v>9</v>
      </c>
      <c r="F906" s="298">
        <f t="shared" ref="F906:F969" si="177">MOD(B906,4)</f>
        <v>2</v>
      </c>
      <c r="G906" s="298">
        <f t="shared" ref="G906:G969" si="178">MOD(B906,7)</f>
        <v>2</v>
      </c>
      <c r="H906" s="298">
        <f t="shared" ref="H906:H969" si="179">MOD(19*E906+C906,30)</f>
        <v>18</v>
      </c>
      <c r="I906" s="298">
        <f t="shared" ref="I906:I969" si="180">MOD(2*F906+4*G906+6*H906+D906,7)</f>
        <v>5</v>
      </c>
      <c r="J906" s="298">
        <f t="shared" ref="J906:J969" si="181">H906+I906</f>
        <v>23</v>
      </c>
      <c r="K906" s="299">
        <f t="shared" ref="K906:K969" si="182">IF(J906&lt;10,DATE(B906,3,J906+22),IF(J906-9=26,DATE(B906,4,19),IF(AND(J906-9=25,H906=28,I906=6,E906&gt;10),DATE(B906,4,18),DATE(B906,4,J906-9))))</f>
        <v>329554</v>
      </c>
      <c r="R906" s="497">
        <f t="shared" si="173"/>
        <v>329554</v>
      </c>
    </row>
    <row r="907" spans="2:18">
      <c r="B907" s="604">
        <f t="shared" si="174"/>
        <v>2803</v>
      </c>
      <c r="C907" s="297">
        <f t="shared" si="172"/>
        <v>27</v>
      </c>
      <c r="D907" s="297">
        <f t="shared" si="175"/>
        <v>4</v>
      </c>
      <c r="E907" s="297">
        <f t="shared" si="176"/>
        <v>10</v>
      </c>
      <c r="F907" s="298">
        <f t="shared" si="177"/>
        <v>3</v>
      </c>
      <c r="G907" s="298">
        <f t="shared" si="178"/>
        <v>3</v>
      </c>
      <c r="H907" s="298">
        <f t="shared" si="179"/>
        <v>7</v>
      </c>
      <c r="I907" s="298">
        <f t="shared" si="180"/>
        <v>1</v>
      </c>
      <c r="J907" s="298">
        <f t="shared" si="181"/>
        <v>8</v>
      </c>
      <c r="K907" s="299">
        <f t="shared" si="182"/>
        <v>329904</v>
      </c>
      <c r="R907" s="497">
        <f t="shared" si="173"/>
        <v>329904</v>
      </c>
    </row>
    <row r="908" spans="2:18">
      <c r="B908" s="604">
        <f t="shared" si="174"/>
        <v>2804</v>
      </c>
      <c r="C908" s="297">
        <f t="shared" si="172"/>
        <v>27</v>
      </c>
      <c r="D908" s="297">
        <f t="shared" si="175"/>
        <v>4</v>
      </c>
      <c r="E908" s="297">
        <f t="shared" si="176"/>
        <v>11</v>
      </c>
      <c r="F908" s="298">
        <f t="shared" si="177"/>
        <v>0</v>
      </c>
      <c r="G908" s="298">
        <f t="shared" si="178"/>
        <v>4</v>
      </c>
      <c r="H908" s="298">
        <f t="shared" si="179"/>
        <v>26</v>
      </c>
      <c r="I908" s="298">
        <f t="shared" si="180"/>
        <v>1</v>
      </c>
      <c r="J908" s="298">
        <f t="shared" si="181"/>
        <v>27</v>
      </c>
      <c r="K908" s="299">
        <f t="shared" si="182"/>
        <v>330289</v>
      </c>
      <c r="R908" s="497">
        <f t="shared" si="173"/>
        <v>330289</v>
      </c>
    </row>
    <row r="909" spans="2:18">
      <c r="B909" s="604">
        <f t="shared" si="174"/>
        <v>2805</v>
      </c>
      <c r="C909" s="297">
        <f t="shared" si="172"/>
        <v>27</v>
      </c>
      <c r="D909" s="297">
        <f t="shared" si="175"/>
        <v>4</v>
      </c>
      <c r="E909" s="297">
        <f t="shared" si="176"/>
        <v>12</v>
      </c>
      <c r="F909" s="298">
        <f t="shared" si="177"/>
        <v>1</v>
      </c>
      <c r="G909" s="298">
        <f t="shared" si="178"/>
        <v>5</v>
      </c>
      <c r="H909" s="298">
        <f t="shared" si="179"/>
        <v>15</v>
      </c>
      <c r="I909" s="298">
        <f t="shared" si="180"/>
        <v>4</v>
      </c>
      <c r="J909" s="298">
        <f t="shared" si="181"/>
        <v>19</v>
      </c>
      <c r="K909" s="299">
        <f t="shared" si="182"/>
        <v>330646</v>
      </c>
      <c r="R909" s="497">
        <f t="shared" si="173"/>
        <v>330646</v>
      </c>
    </row>
    <row r="910" spans="2:18">
      <c r="B910" s="604">
        <f t="shared" si="174"/>
        <v>2806</v>
      </c>
      <c r="C910" s="297">
        <f t="shared" si="172"/>
        <v>27</v>
      </c>
      <c r="D910" s="297">
        <f t="shared" si="175"/>
        <v>4</v>
      </c>
      <c r="E910" s="297">
        <f t="shared" si="176"/>
        <v>13</v>
      </c>
      <c r="F910" s="298">
        <f t="shared" si="177"/>
        <v>2</v>
      </c>
      <c r="G910" s="298">
        <f t="shared" si="178"/>
        <v>6</v>
      </c>
      <c r="H910" s="298">
        <f t="shared" si="179"/>
        <v>4</v>
      </c>
      <c r="I910" s="298">
        <f t="shared" si="180"/>
        <v>0</v>
      </c>
      <c r="J910" s="298">
        <f t="shared" si="181"/>
        <v>4</v>
      </c>
      <c r="K910" s="299">
        <f t="shared" si="182"/>
        <v>330996</v>
      </c>
      <c r="R910" s="497">
        <f t="shared" si="173"/>
        <v>330996</v>
      </c>
    </row>
    <row r="911" spans="2:18">
      <c r="B911" s="604">
        <f t="shared" si="174"/>
        <v>2807</v>
      </c>
      <c r="C911" s="297">
        <f t="shared" si="172"/>
        <v>27</v>
      </c>
      <c r="D911" s="297">
        <f t="shared" si="175"/>
        <v>4</v>
      </c>
      <c r="E911" s="297">
        <f t="shared" si="176"/>
        <v>14</v>
      </c>
      <c r="F911" s="298">
        <f t="shared" si="177"/>
        <v>3</v>
      </c>
      <c r="G911" s="298">
        <f t="shared" si="178"/>
        <v>0</v>
      </c>
      <c r="H911" s="298">
        <f t="shared" si="179"/>
        <v>23</v>
      </c>
      <c r="I911" s="298">
        <f t="shared" si="180"/>
        <v>1</v>
      </c>
      <c r="J911" s="298">
        <f t="shared" si="181"/>
        <v>24</v>
      </c>
      <c r="K911" s="299">
        <f t="shared" si="182"/>
        <v>331381</v>
      </c>
      <c r="R911" s="497">
        <f t="shared" si="173"/>
        <v>331381</v>
      </c>
    </row>
    <row r="912" spans="2:18">
      <c r="B912" s="604">
        <f t="shared" si="174"/>
        <v>2808</v>
      </c>
      <c r="C912" s="297">
        <f t="shared" si="172"/>
        <v>27</v>
      </c>
      <c r="D912" s="297">
        <f t="shared" si="175"/>
        <v>4</v>
      </c>
      <c r="E912" s="297">
        <f t="shared" si="176"/>
        <v>15</v>
      </c>
      <c r="F912" s="298">
        <f t="shared" si="177"/>
        <v>0</v>
      </c>
      <c r="G912" s="298">
        <f t="shared" si="178"/>
        <v>1</v>
      </c>
      <c r="H912" s="298">
        <f t="shared" si="179"/>
        <v>12</v>
      </c>
      <c r="I912" s="298">
        <f t="shared" si="180"/>
        <v>3</v>
      </c>
      <c r="J912" s="298">
        <f t="shared" si="181"/>
        <v>15</v>
      </c>
      <c r="K912" s="299">
        <f t="shared" si="182"/>
        <v>331738</v>
      </c>
      <c r="R912" s="497">
        <f t="shared" si="173"/>
        <v>331738</v>
      </c>
    </row>
    <row r="913" spans="2:18">
      <c r="B913" s="604">
        <f t="shared" si="174"/>
        <v>2809</v>
      </c>
      <c r="C913" s="297">
        <f t="shared" si="172"/>
        <v>27</v>
      </c>
      <c r="D913" s="297">
        <f t="shared" si="175"/>
        <v>4</v>
      </c>
      <c r="E913" s="297">
        <f t="shared" si="176"/>
        <v>16</v>
      </c>
      <c r="F913" s="298">
        <f t="shared" si="177"/>
        <v>1</v>
      </c>
      <c r="G913" s="298">
        <f t="shared" si="178"/>
        <v>2</v>
      </c>
      <c r="H913" s="298">
        <f t="shared" si="179"/>
        <v>1</v>
      </c>
      <c r="I913" s="298">
        <f t="shared" si="180"/>
        <v>6</v>
      </c>
      <c r="J913" s="298">
        <f t="shared" si="181"/>
        <v>7</v>
      </c>
      <c r="K913" s="299">
        <f t="shared" si="182"/>
        <v>332095</v>
      </c>
      <c r="R913" s="497">
        <f t="shared" si="173"/>
        <v>332095</v>
      </c>
    </row>
    <row r="914" spans="2:18">
      <c r="B914" s="604">
        <f t="shared" si="174"/>
        <v>2810</v>
      </c>
      <c r="C914" s="297">
        <f t="shared" si="172"/>
        <v>27</v>
      </c>
      <c r="D914" s="297">
        <f t="shared" si="175"/>
        <v>4</v>
      </c>
      <c r="E914" s="297">
        <f t="shared" si="176"/>
        <v>17</v>
      </c>
      <c r="F914" s="298">
        <f t="shared" si="177"/>
        <v>2</v>
      </c>
      <c r="G914" s="298">
        <f t="shared" si="178"/>
        <v>3</v>
      </c>
      <c r="H914" s="298">
        <f t="shared" si="179"/>
        <v>20</v>
      </c>
      <c r="I914" s="298">
        <f t="shared" si="180"/>
        <v>0</v>
      </c>
      <c r="J914" s="298">
        <f t="shared" si="181"/>
        <v>20</v>
      </c>
      <c r="K914" s="299">
        <f t="shared" si="182"/>
        <v>332473</v>
      </c>
      <c r="R914" s="497">
        <f t="shared" si="173"/>
        <v>332473</v>
      </c>
    </row>
    <row r="915" spans="2:18">
      <c r="B915" s="604">
        <f t="shared" si="174"/>
        <v>2811</v>
      </c>
      <c r="C915" s="297">
        <f t="shared" si="172"/>
        <v>27</v>
      </c>
      <c r="D915" s="297">
        <f t="shared" si="175"/>
        <v>4</v>
      </c>
      <c r="E915" s="297">
        <f t="shared" si="176"/>
        <v>18</v>
      </c>
      <c r="F915" s="298">
        <f t="shared" si="177"/>
        <v>3</v>
      </c>
      <c r="G915" s="298">
        <f t="shared" si="178"/>
        <v>4</v>
      </c>
      <c r="H915" s="298">
        <f t="shared" si="179"/>
        <v>9</v>
      </c>
      <c r="I915" s="298">
        <f t="shared" si="180"/>
        <v>3</v>
      </c>
      <c r="J915" s="298">
        <f t="shared" si="181"/>
        <v>12</v>
      </c>
      <c r="K915" s="299">
        <f t="shared" si="182"/>
        <v>332830</v>
      </c>
      <c r="R915" s="497">
        <f t="shared" si="173"/>
        <v>332830</v>
      </c>
    </row>
    <row r="916" spans="2:18">
      <c r="B916" s="604">
        <f t="shared" si="174"/>
        <v>2812</v>
      </c>
      <c r="C916" s="297">
        <f t="shared" si="172"/>
        <v>27</v>
      </c>
      <c r="D916" s="297">
        <f t="shared" si="175"/>
        <v>4</v>
      </c>
      <c r="E916" s="297">
        <f t="shared" si="176"/>
        <v>0</v>
      </c>
      <c r="F916" s="298">
        <f t="shared" si="177"/>
        <v>0</v>
      </c>
      <c r="G916" s="298">
        <f t="shared" si="178"/>
        <v>5</v>
      </c>
      <c r="H916" s="298">
        <f t="shared" si="179"/>
        <v>27</v>
      </c>
      <c r="I916" s="298">
        <f t="shared" si="180"/>
        <v>4</v>
      </c>
      <c r="J916" s="298">
        <f t="shared" si="181"/>
        <v>31</v>
      </c>
      <c r="K916" s="299">
        <f t="shared" si="182"/>
        <v>333215</v>
      </c>
      <c r="R916" s="497">
        <f t="shared" si="173"/>
        <v>333215</v>
      </c>
    </row>
    <row r="917" spans="2:18">
      <c r="B917" s="604">
        <f t="shared" si="174"/>
        <v>2813</v>
      </c>
      <c r="C917" s="297">
        <f t="shared" si="172"/>
        <v>27</v>
      </c>
      <c r="D917" s="297">
        <f t="shared" si="175"/>
        <v>4</v>
      </c>
      <c r="E917" s="297">
        <f t="shared" si="176"/>
        <v>1</v>
      </c>
      <c r="F917" s="298">
        <f t="shared" si="177"/>
        <v>1</v>
      </c>
      <c r="G917" s="298">
        <f t="shared" si="178"/>
        <v>6</v>
      </c>
      <c r="H917" s="298">
        <f t="shared" si="179"/>
        <v>16</v>
      </c>
      <c r="I917" s="298">
        <f t="shared" si="180"/>
        <v>0</v>
      </c>
      <c r="J917" s="298">
        <f t="shared" si="181"/>
        <v>16</v>
      </c>
      <c r="K917" s="299">
        <f t="shared" si="182"/>
        <v>333565</v>
      </c>
      <c r="R917" s="497">
        <f t="shared" si="173"/>
        <v>333565</v>
      </c>
    </row>
    <row r="918" spans="2:18">
      <c r="B918" s="604">
        <f t="shared" si="174"/>
        <v>2814</v>
      </c>
      <c r="C918" s="297">
        <f t="shared" si="172"/>
        <v>27</v>
      </c>
      <c r="D918" s="297">
        <f t="shared" si="175"/>
        <v>4</v>
      </c>
      <c r="E918" s="297">
        <f t="shared" si="176"/>
        <v>2</v>
      </c>
      <c r="F918" s="298">
        <f t="shared" si="177"/>
        <v>2</v>
      </c>
      <c r="G918" s="298">
        <f t="shared" si="178"/>
        <v>0</v>
      </c>
      <c r="H918" s="298">
        <f t="shared" si="179"/>
        <v>5</v>
      </c>
      <c r="I918" s="298">
        <f t="shared" si="180"/>
        <v>3</v>
      </c>
      <c r="J918" s="298">
        <f t="shared" si="181"/>
        <v>8</v>
      </c>
      <c r="K918" s="299">
        <f t="shared" si="182"/>
        <v>333922</v>
      </c>
      <c r="R918" s="497">
        <f t="shared" si="173"/>
        <v>333922</v>
      </c>
    </row>
    <row r="919" spans="2:18">
      <c r="B919" s="604">
        <f t="shared" si="174"/>
        <v>2815</v>
      </c>
      <c r="C919" s="297">
        <f t="shared" si="172"/>
        <v>27</v>
      </c>
      <c r="D919" s="297">
        <f t="shared" si="175"/>
        <v>4</v>
      </c>
      <c r="E919" s="297">
        <f t="shared" si="176"/>
        <v>3</v>
      </c>
      <c r="F919" s="298">
        <f t="shared" si="177"/>
        <v>3</v>
      </c>
      <c r="G919" s="298">
        <f t="shared" si="178"/>
        <v>1</v>
      </c>
      <c r="H919" s="298">
        <f t="shared" si="179"/>
        <v>24</v>
      </c>
      <c r="I919" s="298">
        <f t="shared" si="180"/>
        <v>4</v>
      </c>
      <c r="J919" s="298">
        <f t="shared" si="181"/>
        <v>28</v>
      </c>
      <c r="K919" s="299">
        <f t="shared" si="182"/>
        <v>334307</v>
      </c>
      <c r="R919" s="497">
        <f t="shared" si="173"/>
        <v>334307</v>
      </c>
    </row>
    <row r="920" spans="2:18">
      <c r="B920" s="604">
        <f t="shared" si="174"/>
        <v>2816</v>
      </c>
      <c r="C920" s="297">
        <f t="shared" si="172"/>
        <v>27</v>
      </c>
      <c r="D920" s="297">
        <f t="shared" si="175"/>
        <v>4</v>
      </c>
      <c r="E920" s="297">
        <f t="shared" si="176"/>
        <v>4</v>
      </c>
      <c r="F920" s="298">
        <f t="shared" si="177"/>
        <v>0</v>
      </c>
      <c r="G920" s="298">
        <f t="shared" si="178"/>
        <v>2</v>
      </c>
      <c r="H920" s="298">
        <f t="shared" si="179"/>
        <v>13</v>
      </c>
      <c r="I920" s="298">
        <f t="shared" si="180"/>
        <v>6</v>
      </c>
      <c r="J920" s="298">
        <f t="shared" si="181"/>
        <v>19</v>
      </c>
      <c r="K920" s="299">
        <f t="shared" si="182"/>
        <v>334664</v>
      </c>
      <c r="R920" s="497">
        <f t="shared" si="173"/>
        <v>334664</v>
      </c>
    </row>
    <row r="921" spans="2:18">
      <c r="B921" s="604">
        <f t="shared" si="174"/>
        <v>2817</v>
      </c>
      <c r="C921" s="297">
        <f t="shared" si="172"/>
        <v>27</v>
      </c>
      <c r="D921" s="297">
        <f t="shared" si="175"/>
        <v>4</v>
      </c>
      <c r="E921" s="297">
        <f t="shared" si="176"/>
        <v>5</v>
      </c>
      <c r="F921" s="298">
        <f t="shared" si="177"/>
        <v>1</v>
      </c>
      <c r="G921" s="298">
        <f t="shared" si="178"/>
        <v>3</v>
      </c>
      <c r="H921" s="298">
        <f t="shared" si="179"/>
        <v>2</v>
      </c>
      <c r="I921" s="298">
        <f t="shared" si="180"/>
        <v>2</v>
      </c>
      <c r="J921" s="298">
        <f t="shared" si="181"/>
        <v>4</v>
      </c>
      <c r="K921" s="299">
        <f t="shared" si="182"/>
        <v>335014</v>
      </c>
      <c r="R921" s="497">
        <f t="shared" si="173"/>
        <v>335014</v>
      </c>
    </row>
    <row r="922" spans="2:18">
      <c r="B922" s="604">
        <f t="shared" si="174"/>
        <v>2818</v>
      </c>
      <c r="C922" s="297">
        <f t="shared" si="172"/>
        <v>27</v>
      </c>
      <c r="D922" s="297">
        <f t="shared" si="175"/>
        <v>4</v>
      </c>
      <c r="E922" s="297">
        <f t="shared" si="176"/>
        <v>6</v>
      </c>
      <c r="F922" s="298">
        <f t="shared" si="177"/>
        <v>2</v>
      </c>
      <c r="G922" s="298">
        <f t="shared" si="178"/>
        <v>4</v>
      </c>
      <c r="H922" s="298">
        <f t="shared" si="179"/>
        <v>21</v>
      </c>
      <c r="I922" s="298">
        <f t="shared" si="180"/>
        <v>3</v>
      </c>
      <c r="J922" s="298">
        <f t="shared" si="181"/>
        <v>24</v>
      </c>
      <c r="K922" s="299">
        <f t="shared" si="182"/>
        <v>335399</v>
      </c>
      <c r="R922" s="497">
        <f t="shared" si="173"/>
        <v>335399</v>
      </c>
    </row>
    <row r="923" spans="2:18">
      <c r="B923" s="604">
        <f t="shared" si="174"/>
        <v>2819</v>
      </c>
      <c r="C923" s="297">
        <f t="shared" si="172"/>
        <v>27</v>
      </c>
      <c r="D923" s="297">
        <f t="shared" si="175"/>
        <v>4</v>
      </c>
      <c r="E923" s="297">
        <f t="shared" si="176"/>
        <v>7</v>
      </c>
      <c r="F923" s="298">
        <f t="shared" si="177"/>
        <v>3</v>
      </c>
      <c r="G923" s="298">
        <f t="shared" si="178"/>
        <v>5</v>
      </c>
      <c r="H923" s="298">
        <f t="shared" si="179"/>
        <v>10</v>
      </c>
      <c r="I923" s="298">
        <f t="shared" si="180"/>
        <v>6</v>
      </c>
      <c r="J923" s="298">
        <f t="shared" si="181"/>
        <v>16</v>
      </c>
      <c r="K923" s="299">
        <f t="shared" si="182"/>
        <v>335756</v>
      </c>
      <c r="R923" s="497">
        <f t="shared" si="173"/>
        <v>335756</v>
      </c>
    </row>
    <row r="924" spans="2:18">
      <c r="B924" s="604">
        <f t="shared" si="174"/>
        <v>2820</v>
      </c>
      <c r="C924" s="297">
        <f t="shared" si="172"/>
        <v>27</v>
      </c>
      <c r="D924" s="297">
        <f t="shared" si="175"/>
        <v>4</v>
      </c>
      <c r="E924" s="297">
        <f t="shared" si="176"/>
        <v>8</v>
      </c>
      <c r="F924" s="298">
        <f t="shared" si="177"/>
        <v>0</v>
      </c>
      <c r="G924" s="298">
        <f t="shared" si="178"/>
        <v>6</v>
      </c>
      <c r="H924" s="298">
        <f t="shared" si="179"/>
        <v>29</v>
      </c>
      <c r="I924" s="298">
        <f t="shared" si="180"/>
        <v>6</v>
      </c>
      <c r="J924" s="298">
        <f t="shared" si="181"/>
        <v>35</v>
      </c>
      <c r="K924" s="299">
        <f t="shared" si="182"/>
        <v>336134</v>
      </c>
      <c r="R924" s="497">
        <f t="shared" si="173"/>
        <v>336141</v>
      </c>
    </row>
    <row r="925" spans="2:18">
      <c r="B925" s="604">
        <f t="shared" si="174"/>
        <v>2821</v>
      </c>
      <c r="C925" s="297">
        <f t="shared" si="172"/>
        <v>27</v>
      </c>
      <c r="D925" s="297">
        <f t="shared" si="175"/>
        <v>4</v>
      </c>
      <c r="E925" s="297">
        <f t="shared" si="176"/>
        <v>9</v>
      </c>
      <c r="F925" s="298">
        <f t="shared" si="177"/>
        <v>1</v>
      </c>
      <c r="G925" s="298">
        <f t="shared" si="178"/>
        <v>0</v>
      </c>
      <c r="H925" s="298">
        <f t="shared" si="179"/>
        <v>18</v>
      </c>
      <c r="I925" s="298">
        <f t="shared" si="180"/>
        <v>2</v>
      </c>
      <c r="J925" s="298">
        <f t="shared" si="181"/>
        <v>20</v>
      </c>
      <c r="K925" s="299">
        <f t="shared" si="182"/>
        <v>336491</v>
      </c>
      <c r="R925" s="497">
        <f t="shared" si="173"/>
        <v>336491</v>
      </c>
    </row>
    <row r="926" spans="2:18">
      <c r="B926" s="604">
        <f t="shared" si="174"/>
        <v>2822</v>
      </c>
      <c r="C926" s="297">
        <f t="shared" si="172"/>
        <v>27</v>
      </c>
      <c r="D926" s="297">
        <f t="shared" si="175"/>
        <v>4</v>
      </c>
      <c r="E926" s="297">
        <f t="shared" si="176"/>
        <v>10</v>
      </c>
      <c r="F926" s="298">
        <f t="shared" si="177"/>
        <v>2</v>
      </c>
      <c r="G926" s="298">
        <f t="shared" si="178"/>
        <v>1</v>
      </c>
      <c r="H926" s="298">
        <f t="shared" si="179"/>
        <v>7</v>
      </c>
      <c r="I926" s="298">
        <f t="shared" si="180"/>
        <v>5</v>
      </c>
      <c r="J926" s="298">
        <f t="shared" si="181"/>
        <v>12</v>
      </c>
      <c r="K926" s="299">
        <f t="shared" si="182"/>
        <v>336848</v>
      </c>
      <c r="R926" s="497">
        <f t="shared" si="173"/>
        <v>336848</v>
      </c>
    </row>
    <row r="927" spans="2:18">
      <c r="B927" s="604">
        <f t="shared" si="174"/>
        <v>2823</v>
      </c>
      <c r="C927" s="297">
        <f t="shared" si="172"/>
        <v>27</v>
      </c>
      <c r="D927" s="297">
        <f t="shared" si="175"/>
        <v>4</v>
      </c>
      <c r="E927" s="297">
        <f t="shared" si="176"/>
        <v>11</v>
      </c>
      <c r="F927" s="298">
        <f t="shared" si="177"/>
        <v>3</v>
      </c>
      <c r="G927" s="298">
        <f t="shared" si="178"/>
        <v>2</v>
      </c>
      <c r="H927" s="298">
        <f t="shared" si="179"/>
        <v>26</v>
      </c>
      <c r="I927" s="298">
        <f t="shared" si="180"/>
        <v>6</v>
      </c>
      <c r="J927" s="298">
        <f t="shared" si="181"/>
        <v>32</v>
      </c>
      <c r="K927" s="299">
        <f t="shared" si="182"/>
        <v>337233</v>
      </c>
      <c r="R927" s="497">
        <f t="shared" si="173"/>
        <v>337233</v>
      </c>
    </row>
    <row r="928" spans="2:18">
      <c r="B928" s="604">
        <f t="shared" si="174"/>
        <v>2824</v>
      </c>
      <c r="C928" s="297">
        <f t="shared" si="172"/>
        <v>27</v>
      </c>
      <c r="D928" s="297">
        <f t="shared" si="175"/>
        <v>4</v>
      </c>
      <c r="E928" s="297">
        <f t="shared" si="176"/>
        <v>12</v>
      </c>
      <c r="F928" s="298">
        <f t="shared" si="177"/>
        <v>0</v>
      </c>
      <c r="G928" s="298">
        <f t="shared" si="178"/>
        <v>3</v>
      </c>
      <c r="H928" s="298">
        <f t="shared" si="179"/>
        <v>15</v>
      </c>
      <c r="I928" s="298">
        <f t="shared" si="180"/>
        <v>1</v>
      </c>
      <c r="J928" s="298">
        <f t="shared" si="181"/>
        <v>16</v>
      </c>
      <c r="K928" s="299">
        <f t="shared" si="182"/>
        <v>337583</v>
      </c>
      <c r="R928" s="497">
        <f t="shared" si="173"/>
        <v>337583</v>
      </c>
    </row>
    <row r="929" spans="2:18">
      <c r="B929" s="604">
        <f t="shared" si="174"/>
        <v>2825</v>
      </c>
      <c r="C929" s="297">
        <f t="shared" si="172"/>
        <v>27</v>
      </c>
      <c r="D929" s="297">
        <f t="shared" si="175"/>
        <v>4</v>
      </c>
      <c r="E929" s="297">
        <f t="shared" si="176"/>
        <v>13</v>
      </c>
      <c r="F929" s="298">
        <f t="shared" si="177"/>
        <v>1</v>
      </c>
      <c r="G929" s="298">
        <f t="shared" si="178"/>
        <v>4</v>
      </c>
      <c r="H929" s="298">
        <f t="shared" si="179"/>
        <v>4</v>
      </c>
      <c r="I929" s="298">
        <f t="shared" si="180"/>
        <v>4</v>
      </c>
      <c r="J929" s="298">
        <f t="shared" si="181"/>
        <v>8</v>
      </c>
      <c r="K929" s="299">
        <f t="shared" si="182"/>
        <v>337940</v>
      </c>
      <c r="R929" s="497">
        <f t="shared" si="173"/>
        <v>337940</v>
      </c>
    </row>
    <row r="930" spans="2:18">
      <c r="B930" s="604">
        <f t="shared" si="174"/>
        <v>2826</v>
      </c>
      <c r="C930" s="297">
        <f t="shared" si="172"/>
        <v>27</v>
      </c>
      <c r="D930" s="297">
        <f t="shared" si="175"/>
        <v>4</v>
      </c>
      <c r="E930" s="297">
        <f t="shared" si="176"/>
        <v>14</v>
      </c>
      <c r="F930" s="298">
        <f t="shared" si="177"/>
        <v>2</v>
      </c>
      <c r="G930" s="298">
        <f t="shared" si="178"/>
        <v>5</v>
      </c>
      <c r="H930" s="298">
        <f t="shared" si="179"/>
        <v>23</v>
      </c>
      <c r="I930" s="298">
        <f t="shared" si="180"/>
        <v>5</v>
      </c>
      <c r="J930" s="298">
        <f t="shared" si="181"/>
        <v>28</v>
      </c>
      <c r="K930" s="299">
        <f t="shared" si="182"/>
        <v>338325</v>
      </c>
      <c r="R930" s="497">
        <f t="shared" si="173"/>
        <v>338325</v>
      </c>
    </row>
    <row r="931" spans="2:18">
      <c r="B931" s="604">
        <f t="shared" si="174"/>
        <v>2827</v>
      </c>
      <c r="C931" s="297">
        <f t="shared" si="172"/>
        <v>27</v>
      </c>
      <c r="D931" s="297">
        <f t="shared" si="175"/>
        <v>4</v>
      </c>
      <c r="E931" s="297">
        <f t="shared" si="176"/>
        <v>15</v>
      </c>
      <c r="F931" s="298">
        <f t="shared" si="177"/>
        <v>3</v>
      </c>
      <c r="G931" s="298">
        <f t="shared" si="178"/>
        <v>6</v>
      </c>
      <c r="H931" s="298">
        <f t="shared" si="179"/>
        <v>12</v>
      </c>
      <c r="I931" s="298">
        <f t="shared" si="180"/>
        <v>1</v>
      </c>
      <c r="J931" s="298">
        <f t="shared" si="181"/>
        <v>13</v>
      </c>
      <c r="K931" s="299">
        <f t="shared" si="182"/>
        <v>338675</v>
      </c>
      <c r="R931" s="497">
        <f t="shared" si="173"/>
        <v>338675</v>
      </c>
    </row>
    <row r="932" spans="2:18">
      <c r="B932" s="604">
        <f t="shared" si="174"/>
        <v>2828</v>
      </c>
      <c r="C932" s="297">
        <f t="shared" si="172"/>
        <v>27</v>
      </c>
      <c r="D932" s="297">
        <f t="shared" si="175"/>
        <v>4</v>
      </c>
      <c r="E932" s="297">
        <f t="shared" si="176"/>
        <v>16</v>
      </c>
      <c r="F932" s="298">
        <f t="shared" si="177"/>
        <v>0</v>
      </c>
      <c r="G932" s="298">
        <f t="shared" si="178"/>
        <v>0</v>
      </c>
      <c r="H932" s="298">
        <f t="shared" si="179"/>
        <v>1</v>
      </c>
      <c r="I932" s="298">
        <f t="shared" si="180"/>
        <v>3</v>
      </c>
      <c r="J932" s="298">
        <f t="shared" si="181"/>
        <v>4</v>
      </c>
      <c r="K932" s="299">
        <f t="shared" si="182"/>
        <v>339032</v>
      </c>
      <c r="R932" s="497">
        <f t="shared" si="173"/>
        <v>339032</v>
      </c>
    </row>
    <row r="933" spans="2:18">
      <c r="B933" s="604">
        <f t="shared" si="174"/>
        <v>2829</v>
      </c>
      <c r="C933" s="297">
        <f t="shared" si="172"/>
        <v>27</v>
      </c>
      <c r="D933" s="297">
        <f t="shared" si="175"/>
        <v>4</v>
      </c>
      <c r="E933" s="297">
        <f t="shared" si="176"/>
        <v>17</v>
      </c>
      <c r="F933" s="298">
        <f t="shared" si="177"/>
        <v>1</v>
      </c>
      <c r="G933" s="298">
        <f t="shared" si="178"/>
        <v>1</v>
      </c>
      <c r="H933" s="298">
        <f t="shared" si="179"/>
        <v>20</v>
      </c>
      <c r="I933" s="298">
        <f t="shared" si="180"/>
        <v>4</v>
      </c>
      <c r="J933" s="298">
        <f t="shared" si="181"/>
        <v>24</v>
      </c>
      <c r="K933" s="299">
        <f t="shared" si="182"/>
        <v>339417</v>
      </c>
      <c r="R933" s="497">
        <f t="shared" si="173"/>
        <v>339417</v>
      </c>
    </row>
    <row r="934" spans="2:18">
      <c r="B934" s="604">
        <f t="shared" si="174"/>
        <v>2830</v>
      </c>
      <c r="C934" s="297">
        <f t="shared" si="172"/>
        <v>27</v>
      </c>
      <c r="D934" s="297">
        <f t="shared" si="175"/>
        <v>4</v>
      </c>
      <c r="E934" s="297">
        <f t="shared" si="176"/>
        <v>18</v>
      </c>
      <c r="F934" s="298">
        <f t="shared" si="177"/>
        <v>2</v>
      </c>
      <c r="G934" s="298">
        <f t="shared" si="178"/>
        <v>2</v>
      </c>
      <c r="H934" s="298">
        <f t="shared" si="179"/>
        <v>9</v>
      </c>
      <c r="I934" s="298">
        <f t="shared" si="180"/>
        <v>0</v>
      </c>
      <c r="J934" s="298">
        <f t="shared" si="181"/>
        <v>9</v>
      </c>
      <c r="K934" s="299">
        <f t="shared" si="182"/>
        <v>339767</v>
      </c>
      <c r="R934" s="497">
        <f t="shared" si="173"/>
        <v>339767</v>
      </c>
    </row>
    <row r="935" spans="2:18">
      <c r="B935" s="604">
        <f t="shared" si="174"/>
        <v>2831</v>
      </c>
      <c r="C935" s="297">
        <f t="shared" si="172"/>
        <v>27</v>
      </c>
      <c r="D935" s="297">
        <f t="shared" si="175"/>
        <v>4</v>
      </c>
      <c r="E935" s="297">
        <f t="shared" si="176"/>
        <v>0</v>
      </c>
      <c r="F935" s="298">
        <f t="shared" si="177"/>
        <v>3</v>
      </c>
      <c r="G935" s="298">
        <f t="shared" si="178"/>
        <v>3</v>
      </c>
      <c r="H935" s="298">
        <f t="shared" si="179"/>
        <v>27</v>
      </c>
      <c r="I935" s="298">
        <f t="shared" si="180"/>
        <v>2</v>
      </c>
      <c r="J935" s="298">
        <f t="shared" si="181"/>
        <v>29</v>
      </c>
      <c r="K935" s="299">
        <f t="shared" si="182"/>
        <v>340152</v>
      </c>
      <c r="R935" s="497">
        <f t="shared" si="173"/>
        <v>340152</v>
      </c>
    </row>
    <row r="936" spans="2:18">
      <c r="B936" s="604">
        <f t="shared" si="174"/>
        <v>2832</v>
      </c>
      <c r="C936" s="297">
        <f t="shared" si="172"/>
        <v>27</v>
      </c>
      <c r="D936" s="297">
        <f t="shared" si="175"/>
        <v>4</v>
      </c>
      <c r="E936" s="297">
        <f t="shared" si="176"/>
        <v>1</v>
      </c>
      <c r="F936" s="298">
        <f t="shared" si="177"/>
        <v>0</v>
      </c>
      <c r="G936" s="298">
        <f t="shared" si="178"/>
        <v>4</v>
      </c>
      <c r="H936" s="298">
        <f t="shared" si="179"/>
        <v>16</v>
      </c>
      <c r="I936" s="298">
        <f t="shared" si="180"/>
        <v>4</v>
      </c>
      <c r="J936" s="298">
        <f t="shared" si="181"/>
        <v>20</v>
      </c>
      <c r="K936" s="299">
        <f t="shared" si="182"/>
        <v>340509</v>
      </c>
      <c r="R936" s="497">
        <f t="shared" si="173"/>
        <v>340509</v>
      </c>
    </row>
    <row r="937" spans="2:18">
      <c r="B937" s="604">
        <f t="shared" si="174"/>
        <v>2833</v>
      </c>
      <c r="C937" s="297">
        <f t="shared" si="172"/>
        <v>27</v>
      </c>
      <c r="D937" s="297">
        <f t="shared" si="175"/>
        <v>4</v>
      </c>
      <c r="E937" s="297">
        <f t="shared" si="176"/>
        <v>2</v>
      </c>
      <c r="F937" s="298">
        <f t="shared" si="177"/>
        <v>1</v>
      </c>
      <c r="G937" s="298">
        <f t="shared" si="178"/>
        <v>5</v>
      </c>
      <c r="H937" s="298">
        <f t="shared" si="179"/>
        <v>5</v>
      </c>
      <c r="I937" s="298">
        <f t="shared" si="180"/>
        <v>0</v>
      </c>
      <c r="J937" s="298">
        <f t="shared" si="181"/>
        <v>5</v>
      </c>
      <c r="K937" s="299">
        <f t="shared" si="182"/>
        <v>340859</v>
      </c>
      <c r="R937" s="497">
        <f t="shared" si="173"/>
        <v>340859</v>
      </c>
    </row>
    <row r="938" spans="2:18">
      <c r="B938" s="604">
        <f t="shared" si="174"/>
        <v>2834</v>
      </c>
      <c r="C938" s="297">
        <f t="shared" si="172"/>
        <v>27</v>
      </c>
      <c r="D938" s="297">
        <f t="shared" si="175"/>
        <v>4</v>
      </c>
      <c r="E938" s="297">
        <f t="shared" si="176"/>
        <v>3</v>
      </c>
      <c r="F938" s="298">
        <f t="shared" si="177"/>
        <v>2</v>
      </c>
      <c r="G938" s="298">
        <f t="shared" si="178"/>
        <v>6</v>
      </c>
      <c r="H938" s="298">
        <f t="shared" si="179"/>
        <v>24</v>
      </c>
      <c r="I938" s="298">
        <f t="shared" si="180"/>
        <v>1</v>
      </c>
      <c r="J938" s="298">
        <f t="shared" si="181"/>
        <v>25</v>
      </c>
      <c r="K938" s="299">
        <f t="shared" si="182"/>
        <v>341244</v>
      </c>
      <c r="R938" s="497">
        <f t="shared" si="173"/>
        <v>341244</v>
      </c>
    </row>
    <row r="939" spans="2:18">
      <c r="B939" s="604">
        <f t="shared" si="174"/>
        <v>2835</v>
      </c>
      <c r="C939" s="297">
        <f t="shared" si="172"/>
        <v>27</v>
      </c>
      <c r="D939" s="297">
        <f t="shared" si="175"/>
        <v>4</v>
      </c>
      <c r="E939" s="297">
        <f t="shared" si="176"/>
        <v>4</v>
      </c>
      <c r="F939" s="298">
        <f t="shared" si="177"/>
        <v>3</v>
      </c>
      <c r="G939" s="298">
        <f t="shared" si="178"/>
        <v>0</v>
      </c>
      <c r="H939" s="298">
        <f t="shared" si="179"/>
        <v>13</v>
      </c>
      <c r="I939" s="298">
        <f t="shared" si="180"/>
        <v>4</v>
      </c>
      <c r="J939" s="298">
        <f t="shared" si="181"/>
        <v>17</v>
      </c>
      <c r="K939" s="299">
        <f t="shared" si="182"/>
        <v>341601</v>
      </c>
      <c r="R939" s="497">
        <f t="shared" si="173"/>
        <v>341601</v>
      </c>
    </row>
    <row r="940" spans="2:18">
      <c r="B940" s="604">
        <f t="shared" si="174"/>
        <v>2836</v>
      </c>
      <c r="C940" s="297">
        <f t="shared" si="172"/>
        <v>27</v>
      </c>
      <c r="D940" s="297">
        <f t="shared" si="175"/>
        <v>4</v>
      </c>
      <c r="E940" s="297">
        <f t="shared" si="176"/>
        <v>5</v>
      </c>
      <c r="F940" s="298">
        <f t="shared" si="177"/>
        <v>0</v>
      </c>
      <c r="G940" s="298">
        <f t="shared" si="178"/>
        <v>1</v>
      </c>
      <c r="H940" s="298">
        <f t="shared" si="179"/>
        <v>2</v>
      </c>
      <c r="I940" s="298">
        <f t="shared" si="180"/>
        <v>6</v>
      </c>
      <c r="J940" s="298">
        <f t="shared" si="181"/>
        <v>8</v>
      </c>
      <c r="K940" s="299">
        <f t="shared" si="182"/>
        <v>341958</v>
      </c>
      <c r="R940" s="497">
        <f t="shared" si="173"/>
        <v>341958</v>
      </c>
    </row>
    <row r="941" spans="2:18">
      <c r="B941" s="604">
        <f t="shared" si="174"/>
        <v>2837</v>
      </c>
      <c r="C941" s="297">
        <f t="shared" si="172"/>
        <v>27</v>
      </c>
      <c r="D941" s="297">
        <f t="shared" si="175"/>
        <v>4</v>
      </c>
      <c r="E941" s="297">
        <f t="shared" si="176"/>
        <v>6</v>
      </c>
      <c r="F941" s="298">
        <f t="shared" si="177"/>
        <v>1</v>
      </c>
      <c r="G941" s="298">
        <f t="shared" si="178"/>
        <v>2</v>
      </c>
      <c r="H941" s="298">
        <f t="shared" si="179"/>
        <v>21</v>
      </c>
      <c r="I941" s="298">
        <f t="shared" si="180"/>
        <v>0</v>
      </c>
      <c r="J941" s="298">
        <f t="shared" si="181"/>
        <v>21</v>
      </c>
      <c r="K941" s="299">
        <f t="shared" si="182"/>
        <v>342336</v>
      </c>
      <c r="R941" s="497">
        <f t="shared" si="173"/>
        <v>342336</v>
      </c>
    </row>
    <row r="942" spans="2:18">
      <c r="B942" s="604">
        <f t="shared" si="174"/>
        <v>2838</v>
      </c>
      <c r="C942" s="297">
        <f t="shared" si="172"/>
        <v>27</v>
      </c>
      <c r="D942" s="297">
        <f t="shared" si="175"/>
        <v>4</v>
      </c>
      <c r="E942" s="297">
        <f t="shared" si="176"/>
        <v>7</v>
      </c>
      <c r="F942" s="298">
        <f t="shared" si="177"/>
        <v>2</v>
      </c>
      <c r="G942" s="298">
        <f t="shared" si="178"/>
        <v>3</v>
      </c>
      <c r="H942" s="298">
        <f t="shared" si="179"/>
        <v>10</v>
      </c>
      <c r="I942" s="298">
        <f t="shared" si="180"/>
        <v>3</v>
      </c>
      <c r="J942" s="298">
        <f t="shared" si="181"/>
        <v>13</v>
      </c>
      <c r="K942" s="299">
        <f t="shared" si="182"/>
        <v>342693</v>
      </c>
      <c r="R942" s="497">
        <f t="shared" si="173"/>
        <v>342693</v>
      </c>
    </row>
    <row r="943" spans="2:18">
      <c r="B943" s="604">
        <f t="shared" si="174"/>
        <v>2839</v>
      </c>
      <c r="C943" s="297">
        <f t="shared" si="172"/>
        <v>27</v>
      </c>
      <c r="D943" s="297">
        <f t="shared" si="175"/>
        <v>4</v>
      </c>
      <c r="E943" s="297">
        <f t="shared" si="176"/>
        <v>8</v>
      </c>
      <c r="F943" s="298">
        <f t="shared" si="177"/>
        <v>3</v>
      </c>
      <c r="G943" s="298">
        <f t="shared" si="178"/>
        <v>4</v>
      </c>
      <c r="H943" s="298">
        <f t="shared" si="179"/>
        <v>29</v>
      </c>
      <c r="I943" s="298">
        <f t="shared" si="180"/>
        <v>4</v>
      </c>
      <c r="J943" s="298">
        <f t="shared" si="181"/>
        <v>33</v>
      </c>
      <c r="K943" s="299">
        <f t="shared" si="182"/>
        <v>343078</v>
      </c>
      <c r="R943" s="497">
        <f t="shared" si="173"/>
        <v>343078</v>
      </c>
    </row>
    <row r="944" spans="2:18">
      <c r="B944" s="604">
        <f t="shared" si="174"/>
        <v>2840</v>
      </c>
      <c r="C944" s="297">
        <f t="shared" si="172"/>
        <v>27</v>
      </c>
      <c r="D944" s="297">
        <f t="shared" si="175"/>
        <v>4</v>
      </c>
      <c r="E944" s="297">
        <f t="shared" si="176"/>
        <v>9</v>
      </c>
      <c r="F944" s="298">
        <f t="shared" si="177"/>
        <v>0</v>
      </c>
      <c r="G944" s="298">
        <f t="shared" si="178"/>
        <v>5</v>
      </c>
      <c r="H944" s="298">
        <f t="shared" si="179"/>
        <v>18</v>
      </c>
      <c r="I944" s="298">
        <f t="shared" si="180"/>
        <v>6</v>
      </c>
      <c r="J944" s="298">
        <f t="shared" si="181"/>
        <v>24</v>
      </c>
      <c r="K944" s="299">
        <f t="shared" si="182"/>
        <v>343435</v>
      </c>
      <c r="R944" s="497">
        <f t="shared" si="173"/>
        <v>343435</v>
      </c>
    </row>
    <row r="945" spans="2:18">
      <c r="B945" s="604">
        <f t="shared" si="174"/>
        <v>2841</v>
      </c>
      <c r="C945" s="297">
        <f t="shared" si="172"/>
        <v>27</v>
      </c>
      <c r="D945" s="297">
        <f t="shared" si="175"/>
        <v>4</v>
      </c>
      <c r="E945" s="297">
        <f t="shared" si="176"/>
        <v>10</v>
      </c>
      <c r="F945" s="298">
        <f t="shared" si="177"/>
        <v>1</v>
      </c>
      <c r="G945" s="298">
        <f t="shared" si="178"/>
        <v>6</v>
      </c>
      <c r="H945" s="298">
        <f t="shared" si="179"/>
        <v>7</v>
      </c>
      <c r="I945" s="298">
        <f t="shared" si="180"/>
        <v>2</v>
      </c>
      <c r="J945" s="298">
        <f t="shared" si="181"/>
        <v>9</v>
      </c>
      <c r="K945" s="299">
        <f t="shared" si="182"/>
        <v>343785</v>
      </c>
      <c r="R945" s="497">
        <f t="shared" si="173"/>
        <v>343785</v>
      </c>
    </row>
    <row r="946" spans="2:18">
      <c r="B946" s="604">
        <f t="shared" si="174"/>
        <v>2842</v>
      </c>
      <c r="C946" s="297">
        <f t="shared" si="172"/>
        <v>27</v>
      </c>
      <c r="D946" s="297">
        <f t="shared" si="175"/>
        <v>4</v>
      </c>
      <c r="E946" s="297">
        <f t="shared" si="176"/>
        <v>11</v>
      </c>
      <c r="F946" s="298">
        <f t="shared" si="177"/>
        <v>2</v>
      </c>
      <c r="G946" s="298">
        <f t="shared" si="178"/>
        <v>0</v>
      </c>
      <c r="H946" s="298">
        <f t="shared" si="179"/>
        <v>26</v>
      </c>
      <c r="I946" s="298">
        <f t="shared" si="180"/>
        <v>3</v>
      </c>
      <c r="J946" s="298">
        <f t="shared" si="181"/>
        <v>29</v>
      </c>
      <c r="K946" s="299">
        <f t="shared" si="182"/>
        <v>344170</v>
      </c>
      <c r="R946" s="497">
        <f t="shared" si="173"/>
        <v>344170</v>
      </c>
    </row>
    <row r="947" spans="2:18">
      <c r="B947" s="604">
        <f t="shared" si="174"/>
        <v>2843</v>
      </c>
      <c r="C947" s="297">
        <f t="shared" si="172"/>
        <v>27</v>
      </c>
      <c r="D947" s="297">
        <f t="shared" si="175"/>
        <v>4</v>
      </c>
      <c r="E947" s="297">
        <f t="shared" si="176"/>
        <v>12</v>
      </c>
      <c r="F947" s="298">
        <f t="shared" si="177"/>
        <v>3</v>
      </c>
      <c r="G947" s="298">
        <f t="shared" si="178"/>
        <v>1</v>
      </c>
      <c r="H947" s="298">
        <f t="shared" si="179"/>
        <v>15</v>
      </c>
      <c r="I947" s="298">
        <f t="shared" si="180"/>
        <v>6</v>
      </c>
      <c r="J947" s="298">
        <f t="shared" si="181"/>
        <v>21</v>
      </c>
      <c r="K947" s="299">
        <f t="shared" si="182"/>
        <v>344527</v>
      </c>
      <c r="R947" s="497">
        <f t="shared" si="173"/>
        <v>344527</v>
      </c>
    </row>
    <row r="948" spans="2:18">
      <c r="B948" s="604">
        <f t="shared" si="174"/>
        <v>2844</v>
      </c>
      <c r="C948" s="297">
        <f t="shared" si="172"/>
        <v>27</v>
      </c>
      <c r="D948" s="297">
        <f t="shared" si="175"/>
        <v>4</v>
      </c>
      <c r="E948" s="297">
        <f t="shared" si="176"/>
        <v>13</v>
      </c>
      <c r="F948" s="298">
        <f t="shared" si="177"/>
        <v>0</v>
      </c>
      <c r="G948" s="298">
        <f t="shared" si="178"/>
        <v>2</v>
      </c>
      <c r="H948" s="298">
        <f t="shared" si="179"/>
        <v>4</v>
      </c>
      <c r="I948" s="298">
        <f t="shared" si="180"/>
        <v>1</v>
      </c>
      <c r="J948" s="298">
        <f t="shared" si="181"/>
        <v>5</v>
      </c>
      <c r="K948" s="299">
        <f t="shared" si="182"/>
        <v>344877</v>
      </c>
      <c r="R948" s="497">
        <f t="shared" si="173"/>
        <v>344877</v>
      </c>
    </row>
    <row r="949" spans="2:18">
      <c r="B949" s="604">
        <f t="shared" si="174"/>
        <v>2845</v>
      </c>
      <c r="C949" s="297">
        <f t="shared" si="172"/>
        <v>27</v>
      </c>
      <c r="D949" s="297">
        <f t="shared" si="175"/>
        <v>4</v>
      </c>
      <c r="E949" s="297">
        <f t="shared" si="176"/>
        <v>14</v>
      </c>
      <c r="F949" s="298">
        <f t="shared" si="177"/>
        <v>1</v>
      </c>
      <c r="G949" s="298">
        <f t="shared" si="178"/>
        <v>3</v>
      </c>
      <c r="H949" s="298">
        <f t="shared" si="179"/>
        <v>23</v>
      </c>
      <c r="I949" s="298">
        <f t="shared" si="180"/>
        <v>2</v>
      </c>
      <c r="J949" s="298">
        <f t="shared" si="181"/>
        <v>25</v>
      </c>
      <c r="K949" s="299">
        <f t="shared" si="182"/>
        <v>345262</v>
      </c>
      <c r="R949" s="497">
        <f t="shared" si="173"/>
        <v>345262</v>
      </c>
    </row>
    <row r="950" spans="2:18">
      <c r="B950" s="604">
        <f t="shared" si="174"/>
        <v>2846</v>
      </c>
      <c r="C950" s="297">
        <f t="shared" si="172"/>
        <v>27</v>
      </c>
      <c r="D950" s="297">
        <f t="shared" si="175"/>
        <v>4</v>
      </c>
      <c r="E950" s="297">
        <f t="shared" si="176"/>
        <v>15</v>
      </c>
      <c r="F950" s="298">
        <f t="shared" si="177"/>
        <v>2</v>
      </c>
      <c r="G950" s="298">
        <f t="shared" si="178"/>
        <v>4</v>
      </c>
      <c r="H950" s="298">
        <f t="shared" si="179"/>
        <v>12</v>
      </c>
      <c r="I950" s="298">
        <f t="shared" si="180"/>
        <v>5</v>
      </c>
      <c r="J950" s="298">
        <f t="shared" si="181"/>
        <v>17</v>
      </c>
      <c r="K950" s="299">
        <f t="shared" si="182"/>
        <v>345619</v>
      </c>
      <c r="R950" s="497">
        <f t="shared" si="173"/>
        <v>345619</v>
      </c>
    </row>
    <row r="951" spans="2:18">
      <c r="B951" s="604">
        <f t="shared" si="174"/>
        <v>2847</v>
      </c>
      <c r="C951" s="297">
        <f t="shared" si="172"/>
        <v>27</v>
      </c>
      <c r="D951" s="297">
        <f t="shared" si="175"/>
        <v>4</v>
      </c>
      <c r="E951" s="297">
        <f t="shared" si="176"/>
        <v>16</v>
      </c>
      <c r="F951" s="298">
        <f t="shared" si="177"/>
        <v>3</v>
      </c>
      <c r="G951" s="298">
        <f t="shared" si="178"/>
        <v>5</v>
      </c>
      <c r="H951" s="298">
        <f t="shared" si="179"/>
        <v>1</v>
      </c>
      <c r="I951" s="298">
        <f t="shared" si="180"/>
        <v>1</v>
      </c>
      <c r="J951" s="298">
        <f t="shared" si="181"/>
        <v>2</v>
      </c>
      <c r="K951" s="299">
        <f t="shared" si="182"/>
        <v>345969</v>
      </c>
      <c r="R951" s="497">
        <f t="shared" si="173"/>
        <v>345969</v>
      </c>
    </row>
    <row r="952" spans="2:18">
      <c r="B952" s="604">
        <f t="shared" si="174"/>
        <v>2848</v>
      </c>
      <c r="C952" s="297">
        <f t="shared" si="172"/>
        <v>27</v>
      </c>
      <c r="D952" s="297">
        <f t="shared" si="175"/>
        <v>4</v>
      </c>
      <c r="E952" s="297">
        <f t="shared" si="176"/>
        <v>17</v>
      </c>
      <c r="F952" s="298">
        <f t="shared" si="177"/>
        <v>0</v>
      </c>
      <c r="G952" s="298">
        <f t="shared" si="178"/>
        <v>6</v>
      </c>
      <c r="H952" s="298">
        <f t="shared" si="179"/>
        <v>20</v>
      </c>
      <c r="I952" s="298">
        <f t="shared" si="180"/>
        <v>1</v>
      </c>
      <c r="J952" s="298">
        <f t="shared" si="181"/>
        <v>21</v>
      </c>
      <c r="K952" s="299">
        <f t="shared" si="182"/>
        <v>346354</v>
      </c>
      <c r="R952" s="497">
        <f t="shared" si="173"/>
        <v>346354</v>
      </c>
    </row>
    <row r="953" spans="2:18">
      <c r="B953" s="604">
        <f t="shared" si="174"/>
        <v>2849</v>
      </c>
      <c r="C953" s="297">
        <f t="shared" si="172"/>
        <v>27</v>
      </c>
      <c r="D953" s="297">
        <f t="shared" si="175"/>
        <v>4</v>
      </c>
      <c r="E953" s="297">
        <f t="shared" si="176"/>
        <v>18</v>
      </c>
      <c r="F953" s="298">
        <f t="shared" si="177"/>
        <v>1</v>
      </c>
      <c r="G953" s="298">
        <f t="shared" si="178"/>
        <v>0</v>
      </c>
      <c r="H953" s="298">
        <f t="shared" si="179"/>
        <v>9</v>
      </c>
      <c r="I953" s="298">
        <f t="shared" si="180"/>
        <v>4</v>
      </c>
      <c r="J953" s="298">
        <f t="shared" si="181"/>
        <v>13</v>
      </c>
      <c r="K953" s="299">
        <f t="shared" si="182"/>
        <v>346711</v>
      </c>
      <c r="R953" s="497">
        <f t="shared" si="173"/>
        <v>346711</v>
      </c>
    </row>
    <row r="954" spans="2:18">
      <c r="B954" s="604">
        <f t="shared" si="174"/>
        <v>2850</v>
      </c>
      <c r="C954" s="297">
        <f t="shared" si="172"/>
        <v>27</v>
      </c>
      <c r="D954" s="297">
        <f t="shared" si="175"/>
        <v>4</v>
      </c>
      <c r="E954" s="297">
        <f t="shared" si="176"/>
        <v>0</v>
      </c>
      <c r="F954" s="298">
        <f t="shared" si="177"/>
        <v>2</v>
      </c>
      <c r="G954" s="298">
        <f t="shared" si="178"/>
        <v>1</v>
      </c>
      <c r="H954" s="298">
        <f t="shared" si="179"/>
        <v>27</v>
      </c>
      <c r="I954" s="298">
        <f t="shared" si="180"/>
        <v>6</v>
      </c>
      <c r="J954" s="298">
        <f t="shared" si="181"/>
        <v>33</v>
      </c>
      <c r="K954" s="299">
        <f t="shared" si="182"/>
        <v>347096</v>
      </c>
      <c r="R954" s="497">
        <f t="shared" si="173"/>
        <v>347096</v>
      </c>
    </row>
    <row r="955" spans="2:18">
      <c r="B955" s="604">
        <f t="shared" si="174"/>
        <v>2851</v>
      </c>
      <c r="C955" s="297">
        <f t="shared" si="172"/>
        <v>27</v>
      </c>
      <c r="D955" s="297">
        <f t="shared" si="175"/>
        <v>4</v>
      </c>
      <c r="E955" s="297">
        <f t="shared" si="176"/>
        <v>1</v>
      </c>
      <c r="F955" s="298">
        <f t="shared" si="177"/>
        <v>3</v>
      </c>
      <c r="G955" s="298">
        <f t="shared" si="178"/>
        <v>2</v>
      </c>
      <c r="H955" s="298">
        <f t="shared" si="179"/>
        <v>16</v>
      </c>
      <c r="I955" s="298">
        <f t="shared" si="180"/>
        <v>2</v>
      </c>
      <c r="J955" s="298">
        <f t="shared" si="181"/>
        <v>18</v>
      </c>
      <c r="K955" s="299">
        <f t="shared" si="182"/>
        <v>347446</v>
      </c>
      <c r="R955" s="497">
        <f t="shared" si="173"/>
        <v>347446</v>
      </c>
    </row>
    <row r="956" spans="2:18">
      <c r="B956" s="604">
        <f t="shared" si="174"/>
        <v>2852</v>
      </c>
      <c r="C956" s="297">
        <f t="shared" si="172"/>
        <v>27</v>
      </c>
      <c r="D956" s="297">
        <f t="shared" si="175"/>
        <v>4</v>
      </c>
      <c r="E956" s="297">
        <f t="shared" si="176"/>
        <v>2</v>
      </c>
      <c r="F956" s="298">
        <f t="shared" si="177"/>
        <v>0</v>
      </c>
      <c r="G956" s="298">
        <f t="shared" si="178"/>
        <v>3</v>
      </c>
      <c r="H956" s="298">
        <f t="shared" si="179"/>
        <v>5</v>
      </c>
      <c r="I956" s="298">
        <f t="shared" si="180"/>
        <v>4</v>
      </c>
      <c r="J956" s="298">
        <f t="shared" si="181"/>
        <v>9</v>
      </c>
      <c r="K956" s="299">
        <f t="shared" si="182"/>
        <v>347803</v>
      </c>
      <c r="R956" s="497">
        <f t="shared" si="173"/>
        <v>347803</v>
      </c>
    </row>
    <row r="957" spans="2:18">
      <c r="B957" s="604">
        <f t="shared" si="174"/>
        <v>2853</v>
      </c>
      <c r="C957" s="297">
        <f t="shared" si="172"/>
        <v>27</v>
      </c>
      <c r="D957" s="297">
        <f t="shared" si="175"/>
        <v>4</v>
      </c>
      <c r="E957" s="297">
        <f t="shared" si="176"/>
        <v>3</v>
      </c>
      <c r="F957" s="298">
        <f t="shared" si="177"/>
        <v>1</v>
      </c>
      <c r="G957" s="298">
        <f t="shared" si="178"/>
        <v>4</v>
      </c>
      <c r="H957" s="298">
        <f t="shared" si="179"/>
        <v>24</v>
      </c>
      <c r="I957" s="298">
        <f t="shared" si="180"/>
        <v>5</v>
      </c>
      <c r="J957" s="298">
        <f t="shared" si="181"/>
        <v>29</v>
      </c>
      <c r="K957" s="299">
        <f t="shared" si="182"/>
        <v>348188</v>
      </c>
      <c r="R957" s="497">
        <f t="shared" si="173"/>
        <v>348188</v>
      </c>
    </row>
    <row r="958" spans="2:18">
      <c r="B958" s="604">
        <f t="shared" si="174"/>
        <v>2854</v>
      </c>
      <c r="C958" s="297">
        <f t="shared" si="172"/>
        <v>27</v>
      </c>
      <c r="D958" s="297">
        <f t="shared" si="175"/>
        <v>4</v>
      </c>
      <c r="E958" s="297">
        <f t="shared" si="176"/>
        <v>4</v>
      </c>
      <c r="F958" s="298">
        <f t="shared" si="177"/>
        <v>2</v>
      </c>
      <c r="G958" s="298">
        <f t="shared" si="178"/>
        <v>5</v>
      </c>
      <c r="H958" s="298">
        <f t="shared" si="179"/>
        <v>13</v>
      </c>
      <c r="I958" s="298">
        <f t="shared" si="180"/>
        <v>1</v>
      </c>
      <c r="J958" s="298">
        <f t="shared" si="181"/>
        <v>14</v>
      </c>
      <c r="K958" s="299">
        <f t="shared" si="182"/>
        <v>348538</v>
      </c>
      <c r="R958" s="497">
        <f t="shared" si="173"/>
        <v>348538</v>
      </c>
    </row>
    <row r="959" spans="2:18">
      <c r="B959" s="604">
        <f t="shared" si="174"/>
        <v>2855</v>
      </c>
      <c r="C959" s="297">
        <f t="shared" si="172"/>
        <v>27</v>
      </c>
      <c r="D959" s="297">
        <f t="shared" si="175"/>
        <v>4</v>
      </c>
      <c r="E959" s="297">
        <f t="shared" si="176"/>
        <v>5</v>
      </c>
      <c r="F959" s="298">
        <f t="shared" si="177"/>
        <v>3</v>
      </c>
      <c r="G959" s="298">
        <f t="shared" si="178"/>
        <v>6</v>
      </c>
      <c r="H959" s="298">
        <f t="shared" si="179"/>
        <v>2</v>
      </c>
      <c r="I959" s="298">
        <f t="shared" si="180"/>
        <v>4</v>
      </c>
      <c r="J959" s="298">
        <f t="shared" si="181"/>
        <v>6</v>
      </c>
      <c r="K959" s="299">
        <f t="shared" si="182"/>
        <v>348895</v>
      </c>
      <c r="R959" s="497">
        <f t="shared" si="173"/>
        <v>348895</v>
      </c>
    </row>
    <row r="960" spans="2:18">
      <c r="B960" s="604">
        <f t="shared" si="174"/>
        <v>2856</v>
      </c>
      <c r="C960" s="297">
        <f t="shared" si="172"/>
        <v>27</v>
      </c>
      <c r="D960" s="297">
        <f t="shared" si="175"/>
        <v>4</v>
      </c>
      <c r="E960" s="297">
        <f t="shared" si="176"/>
        <v>6</v>
      </c>
      <c r="F960" s="298">
        <f t="shared" si="177"/>
        <v>0</v>
      </c>
      <c r="G960" s="298">
        <f t="shared" si="178"/>
        <v>0</v>
      </c>
      <c r="H960" s="298">
        <f t="shared" si="179"/>
        <v>21</v>
      </c>
      <c r="I960" s="298">
        <f t="shared" si="180"/>
        <v>4</v>
      </c>
      <c r="J960" s="298">
        <f t="shared" si="181"/>
        <v>25</v>
      </c>
      <c r="K960" s="299">
        <f t="shared" si="182"/>
        <v>349280</v>
      </c>
      <c r="R960" s="497">
        <f t="shared" si="173"/>
        <v>349280</v>
      </c>
    </row>
    <row r="961" spans="2:18">
      <c r="B961" s="604">
        <f t="shared" si="174"/>
        <v>2857</v>
      </c>
      <c r="C961" s="297">
        <f t="shared" si="172"/>
        <v>27</v>
      </c>
      <c r="D961" s="297">
        <f t="shared" si="175"/>
        <v>4</v>
      </c>
      <c r="E961" s="297">
        <f t="shared" si="176"/>
        <v>7</v>
      </c>
      <c r="F961" s="298">
        <f t="shared" si="177"/>
        <v>1</v>
      </c>
      <c r="G961" s="298">
        <f t="shared" si="178"/>
        <v>1</v>
      </c>
      <c r="H961" s="298">
        <f t="shared" si="179"/>
        <v>10</v>
      </c>
      <c r="I961" s="298">
        <f t="shared" si="180"/>
        <v>0</v>
      </c>
      <c r="J961" s="298">
        <f t="shared" si="181"/>
        <v>10</v>
      </c>
      <c r="K961" s="299">
        <f t="shared" si="182"/>
        <v>349630</v>
      </c>
      <c r="R961" s="497">
        <f t="shared" si="173"/>
        <v>349630</v>
      </c>
    </row>
    <row r="962" spans="2:18">
      <c r="B962" s="604">
        <f t="shared" si="174"/>
        <v>2858</v>
      </c>
      <c r="C962" s="297">
        <f t="shared" si="172"/>
        <v>27</v>
      </c>
      <c r="D962" s="297">
        <f t="shared" si="175"/>
        <v>4</v>
      </c>
      <c r="E962" s="297">
        <f t="shared" si="176"/>
        <v>8</v>
      </c>
      <c r="F962" s="298">
        <f t="shared" si="177"/>
        <v>2</v>
      </c>
      <c r="G962" s="298">
        <f t="shared" si="178"/>
        <v>2</v>
      </c>
      <c r="H962" s="298">
        <f t="shared" si="179"/>
        <v>29</v>
      </c>
      <c r="I962" s="298">
        <f t="shared" si="180"/>
        <v>1</v>
      </c>
      <c r="J962" s="298">
        <f t="shared" si="181"/>
        <v>30</v>
      </c>
      <c r="K962" s="299">
        <f t="shared" si="182"/>
        <v>350015</v>
      </c>
      <c r="R962" s="497">
        <f t="shared" si="173"/>
        <v>350015</v>
      </c>
    </row>
    <row r="963" spans="2:18">
      <c r="B963" s="604">
        <f t="shared" si="174"/>
        <v>2859</v>
      </c>
      <c r="C963" s="297">
        <f t="shared" si="172"/>
        <v>27</v>
      </c>
      <c r="D963" s="297">
        <f t="shared" si="175"/>
        <v>4</v>
      </c>
      <c r="E963" s="297">
        <f t="shared" si="176"/>
        <v>9</v>
      </c>
      <c r="F963" s="298">
        <f t="shared" si="177"/>
        <v>3</v>
      </c>
      <c r="G963" s="298">
        <f t="shared" si="178"/>
        <v>3</v>
      </c>
      <c r="H963" s="298">
        <f t="shared" si="179"/>
        <v>18</v>
      </c>
      <c r="I963" s="298">
        <f t="shared" si="180"/>
        <v>4</v>
      </c>
      <c r="J963" s="298">
        <f t="shared" si="181"/>
        <v>22</v>
      </c>
      <c r="K963" s="299">
        <f t="shared" si="182"/>
        <v>350372</v>
      </c>
      <c r="R963" s="497">
        <f t="shared" si="173"/>
        <v>350372</v>
      </c>
    </row>
    <row r="964" spans="2:18">
      <c r="B964" s="604">
        <f t="shared" si="174"/>
        <v>2860</v>
      </c>
      <c r="C964" s="297">
        <f t="shared" si="172"/>
        <v>27</v>
      </c>
      <c r="D964" s="297">
        <f t="shared" si="175"/>
        <v>4</v>
      </c>
      <c r="E964" s="297">
        <f t="shared" si="176"/>
        <v>10</v>
      </c>
      <c r="F964" s="298">
        <f t="shared" si="177"/>
        <v>0</v>
      </c>
      <c r="G964" s="298">
        <f t="shared" si="178"/>
        <v>4</v>
      </c>
      <c r="H964" s="298">
        <f t="shared" si="179"/>
        <v>7</v>
      </c>
      <c r="I964" s="298">
        <f t="shared" si="180"/>
        <v>6</v>
      </c>
      <c r="J964" s="298">
        <f t="shared" si="181"/>
        <v>13</v>
      </c>
      <c r="K964" s="299">
        <f t="shared" si="182"/>
        <v>350729</v>
      </c>
      <c r="R964" s="497">
        <f t="shared" si="173"/>
        <v>350729</v>
      </c>
    </row>
    <row r="965" spans="2:18">
      <c r="B965" s="604">
        <f t="shared" si="174"/>
        <v>2861</v>
      </c>
      <c r="C965" s="297">
        <f t="shared" ref="C965:C1028" si="183">VLOOKUP(B965,$M$4:$P$86,3,TRUE)</f>
        <v>27</v>
      </c>
      <c r="D965" s="297">
        <f t="shared" si="175"/>
        <v>4</v>
      </c>
      <c r="E965" s="297">
        <f t="shared" si="176"/>
        <v>11</v>
      </c>
      <c r="F965" s="298">
        <f t="shared" si="177"/>
        <v>1</v>
      </c>
      <c r="G965" s="298">
        <f t="shared" si="178"/>
        <v>5</v>
      </c>
      <c r="H965" s="298">
        <f t="shared" si="179"/>
        <v>26</v>
      </c>
      <c r="I965" s="298">
        <f t="shared" si="180"/>
        <v>0</v>
      </c>
      <c r="J965" s="298">
        <f t="shared" si="181"/>
        <v>26</v>
      </c>
      <c r="K965" s="299">
        <f t="shared" si="182"/>
        <v>351107</v>
      </c>
      <c r="R965" s="497">
        <f t="shared" ref="R965:R1028" si="184">IF(MOD(19*MOD(B965,19)+C965,30)+MOD(2*MOD(B965,4)+4*MOD(B965,7)+6*MOD(19*MOD(B965,19)+C965,30)+D965,7)-9&lt;=0,DATE(B965,3,22+MOD(19*MOD(B965,19)+C965,30)+MOD(2*MOD(B965,4)+4*MOD(B965,7)+6*MOD(19*MOD(B965,19)+C965,30)+D965,7)),DATE(B965,4,MOD(19*MOD(B965,19)+C965,30)+MOD(2*MOD(B965,4)+4*MOD(B965,7)+6*MOD(19*MOD(B965,19)+C965,30)+D965,7)-9))</f>
        <v>351107</v>
      </c>
    </row>
    <row r="966" spans="2:18">
      <c r="B966" s="604">
        <f t="shared" ref="B966:B1029" si="185">B965+1</f>
        <v>2862</v>
      </c>
      <c r="C966" s="297">
        <f t="shared" si="183"/>
        <v>27</v>
      </c>
      <c r="D966" s="297">
        <f t="shared" si="175"/>
        <v>4</v>
      </c>
      <c r="E966" s="297">
        <f t="shared" si="176"/>
        <v>12</v>
      </c>
      <c r="F966" s="298">
        <f t="shared" si="177"/>
        <v>2</v>
      </c>
      <c r="G966" s="298">
        <f t="shared" si="178"/>
        <v>6</v>
      </c>
      <c r="H966" s="298">
        <f t="shared" si="179"/>
        <v>15</v>
      </c>
      <c r="I966" s="298">
        <f t="shared" si="180"/>
        <v>3</v>
      </c>
      <c r="J966" s="298">
        <f t="shared" si="181"/>
        <v>18</v>
      </c>
      <c r="K966" s="299">
        <f t="shared" si="182"/>
        <v>351464</v>
      </c>
      <c r="R966" s="497">
        <f t="shared" si="184"/>
        <v>351464</v>
      </c>
    </row>
    <row r="967" spans="2:18">
      <c r="B967" s="604">
        <f t="shared" si="185"/>
        <v>2863</v>
      </c>
      <c r="C967" s="297">
        <f t="shared" si="183"/>
        <v>27</v>
      </c>
      <c r="D967" s="297">
        <f t="shared" si="175"/>
        <v>4</v>
      </c>
      <c r="E967" s="297">
        <f t="shared" si="176"/>
        <v>13</v>
      </c>
      <c r="F967" s="298">
        <f t="shared" si="177"/>
        <v>3</v>
      </c>
      <c r="G967" s="298">
        <f t="shared" si="178"/>
        <v>0</v>
      </c>
      <c r="H967" s="298">
        <f t="shared" si="179"/>
        <v>4</v>
      </c>
      <c r="I967" s="298">
        <f t="shared" si="180"/>
        <v>6</v>
      </c>
      <c r="J967" s="298">
        <f t="shared" si="181"/>
        <v>10</v>
      </c>
      <c r="K967" s="299">
        <f t="shared" si="182"/>
        <v>351821</v>
      </c>
      <c r="R967" s="497">
        <f t="shared" si="184"/>
        <v>351821</v>
      </c>
    </row>
    <row r="968" spans="2:18">
      <c r="B968" s="604">
        <f t="shared" si="185"/>
        <v>2864</v>
      </c>
      <c r="C968" s="297">
        <f t="shared" si="183"/>
        <v>27</v>
      </c>
      <c r="D968" s="297">
        <f t="shared" si="175"/>
        <v>4</v>
      </c>
      <c r="E968" s="297">
        <f t="shared" si="176"/>
        <v>14</v>
      </c>
      <c r="F968" s="298">
        <f t="shared" si="177"/>
        <v>0</v>
      </c>
      <c r="G968" s="298">
        <f t="shared" si="178"/>
        <v>1</v>
      </c>
      <c r="H968" s="298">
        <f t="shared" si="179"/>
        <v>23</v>
      </c>
      <c r="I968" s="298">
        <f t="shared" si="180"/>
        <v>6</v>
      </c>
      <c r="J968" s="298">
        <f t="shared" si="181"/>
        <v>29</v>
      </c>
      <c r="K968" s="299">
        <f t="shared" si="182"/>
        <v>352206</v>
      </c>
      <c r="R968" s="497">
        <f t="shared" si="184"/>
        <v>352206</v>
      </c>
    </row>
    <row r="969" spans="2:18">
      <c r="B969" s="604">
        <f t="shared" si="185"/>
        <v>2865</v>
      </c>
      <c r="C969" s="297">
        <f t="shared" si="183"/>
        <v>27</v>
      </c>
      <c r="D969" s="297">
        <f t="shared" si="175"/>
        <v>4</v>
      </c>
      <c r="E969" s="297">
        <f t="shared" si="176"/>
        <v>15</v>
      </c>
      <c r="F969" s="298">
        <f t="shared" si="177"/>
        <v>1</v>
      </c>
      <c r="G969" s="298">
        <f t="shared" si="178"/>
        <v>2</v>
      </c>
      <c r="H969" s="298">
        <f t="shared" si="179"/>
        <v>12</v>
      </c>
      <c r="I969" s="298">
        <f t="shared" si="180"/>
        <v>2</v>
      </c>
      <c r="J969" s="298">
        <f t="shared" si="181"/>
        <v>14</v>
      </c>
      <c r="K969" s="299">
        <f t="shared" si="182"/>
        <v>352556</v>
      </c>
      <c r="R969" s="497">
        <f t="shared" si="184"/>
        <v>352556</v>
      </c>
    </row>
    <row r="970" spans="2:18">
      <c r="B970" s="604">
        <f t="shared" si="185"/>
        <v>2866</v>
      </c>
      <c r="C970" s="297">
        <f t="shared" si="183"/>
        <v>27</v>
      </c>
      <c r="D970" s="297">
        <f t="shared" ref="D970:D1033" si="186">VLOOKUP(B970,$M$4:$P$86,4,TRUE)</f>
        <v>4</v>
      </c>
      <c r="E970" s="297">
        <f t="shared" ref="E970:E1033" si="187">MOD(B970,19)</f>
        <v>16</v>
      </c>
      <c r="F970" s="298">
        <f t="shared" ref="F970:F1033" si="188">MOD(B970,4)</f>
        <v>2</v>
      </c>
      <c r="G970" s="298">
        <f t="shared" ref="G970:G1033" si="189">MOD(B970,7)</f>
        <v>3</v>
      </c>
      <c r="H970" s="298">
        <f t="shared" ref="H970:H1033" si="190">MOD(19*E970+C970,30)</f>
        <v>1</v>
      </c>
      <c r="I970" s="298">
        <f t="shared" ref="I970:I1033" si="191">MOD(2*F970+4*G970+6*H970+D970,7)</f>
        <v>5</v>
      </c>
      <c r="J970" s="298">
        <f t="shared" ref="J970:J1033" si="192">H970+I970</f>
        <v>6</v>
      </c>
      <c r="K970" s="299">
        <f t="shared" ref="K970:K1033" si="193">IF(J970&lt;10,DATE(B970,3,J970+22),IF(J970-9=26,DATE(B970,4,19),IF(AND(J970-9=25,H970=28,I970=6,E970&gt;10),DATE(B970,4,18),DATE(B970,4,J970-9))))</f>
        <v>352913</v>
      </c>
      <c r="R970" s="497">
        <f t="shared" si="184"/>
        <v>352913</v>
      </c>
    </row>
    <row r="971" spans="2:18">
      <c r="B971" s="604">
        <f t="shared" si="185"/>
        <v>2867</v>
      </c>
      <c r="C971" s="297">
        <f t="shared" si="183"/>
        <v>27</v>
      </c>
      <c r="D971" s="297">
        <f t="shared" si="186"/>
        <v>4</v>
      </c>
      <c r="E971" s="297">
        <f t="shared" si="187"/>
        <v>17</v>
      </c>
      <c r="F971" s="298">
        <f t="shared" si="188"/>
        <v>3</v>
      </c>
      <c r="G971" s="298">
        <f t="shared" si="189"/>
        <v>4</v>
      </c>
      <c r="H971" s="298">
        <f t="shared" si="190"/>
        <v>20</v>
      </c>
      <c r="I971" s="298">
        <f t="shared" si="191"/>
        <v>6</v>
      </c>
      <c r="J971" s="298">
        <f t="shared" si="192"/>
        <v>26</v>
      </c>
      <c r="K971" s="299">
        <f t="shared" si="193"/>
        <v>353298</v>
      </c>
      <c r="R971" s="497">
        <f t="shared" si="184"/>
        <v>353298</v>
      </c>
    </row>
    <row r="972" spans="2:18">
      <c r="B972" s="604">
        <f t="shared" si="185"/>
        <v>2868</v>
      </c>
      <c r="C972" s="297">
        <f t="shared" si="183"/>
        <v>27</v>
      </c>
      <c r="D972" s="297">
        <f t="shared" si="186"/>
        <v>4</v>
      </c>
      <c r="E972" s="297">
        <f t="shared" si="187"/>
        <v>18</v>
      </c>
      <c r="F972" s="298">
        <f t="shared" si="188"/>
        <v>0</v>
      </c>
      <c r="G972" s="298">
        <f t="shared" si="189"/>
        <v>5</v>
      </c>
      <c r="H972" s="298">
        <f t="shared" si="190"/>
        <v>9</v>
      </c>
      <c r="I972" s="298">
        <f t="shared" si="191"/>
        <v>1</v>
      </c>
      <c r="J972" s="298">
        <f t="shared" si="192"/>
        <v>10</v>
      </c>
      <c r="K972" s="299">
        <f t="shared" si="193"/>
        <v>353648</v>
      </c>
      <c r="R972" s="497">
        <f t="shared" si="184"/>
        <v>353648</v>
      </c>
    </row>
    <row r="973" spans="2:18">
      <c r="B973" s="604">
        <f t="shared" si="185"/>
        <v>2869</v>
      </c>
      <c r="C973" s="297">
        <f t="shared" si="183"/>
        <v>27</v>
      </c>
      <c r="D973" s="297">
        <f t="shared" si="186"/>
        <v>4</v>
      </c>
      <c r="E973" s="297">
        <f t="shared" si="187"/>
        <v>0</v>
      </c>
      <c r="F973" s="298">
        <f t="shared" si="188"/>
        <v>1</v>
      </c>
      <c r="G973" s="298">
        <f t="shared" si="189"/>
        <v>6</v>
      </c>
      <c r="H973" s="298">
        <f t="shared" si="190"/>
        <v>27</v>
      </c>
      <c r="I973" s="298">
        <f t="shared" si="191"/>
        <v>3</v>
      </c>
      <c r="J973" s="298">
        <f t="shared" si="192"/>
        <v>30</v>
      </c>
      <c r="K973" s="299">
        <f t="shared" si="193"/>
        <v>354033</v>
      </c>
      <c r="R973" s="497">
        <f t="shared" si="184"/>
        <v>354033</v>
      </c>
    </row>
    <row r="974" spans="2:18">
      <c r="B974" s="604">
        <f t="shared" si="185"/>
        <v>2870</v>
      </c>
      <c r="C974" s="297">
        <f t="shared" si="183"/>
        <v>27</v>
      </c>
      <c r="D974" s="297">
        <f t="shared" si="186"/>
        <v>4</v>
      </c>
      <c r="E974" s="297">
        <f t="shared" si="187"/>
        <v>1</v>
      </c>
      <c r="F974" s="298">
        <f t="shared" si="188"/>
        <v>2</v>
      </c>
      <c r="G974" s="298">
        <f t="shared" si="189"/>
        <v>0</v>
      </c>
      <c r="H974" s="298">
        <f t="shared" si="190"/>
        <v>16</v>
      </c>
      <c r="I974" s="298">
        <f t="shared" si="191"/>
        <v>6</v>
      </c>
      <c r="J974" s="298">
        <f t="shared" si="192"/>
        <v>22</v>
      </c>
      <c r="K974" s="299">
        <f t="shared" si="193"/>
        <v>354390</v>
      </c>
      <c r="R974" s="497">
        <f t="shared" si="184"/>
        <v>354390</v>
      </c>
    </row>
    <row r="975" spans="2:18">
      <c r="B975" s="604">
        <f t="shared" si="185"/>
        <v>2871</v>
      </c>
      <c r="C975" s="297">
        <f t="shared" si="183"/>
        <v>27</v>
      </c>
      <c r="D975" s="297">
        <f t="shared" si="186"/>
        <v>4</v>
      </c>
      <c r="E975" s="297">
        <f t="shared" si="187"/>
        <v>2</v>
      </c>
      <c r="F975" s="298">
        <f t="shared" si="188"/>
        <v>3</v>
      </c>
      <c r="G975" s="298">
        <f t="shared" si="189"/>
        <v>1</v>
      </c>
      <c r="H975" s="298">
        <f t="shared" si="190"/>
        <v>5</v>
      </c>
      <c r="I975" s="298">
        <f t="shared" si="191"/>
        <v>2</v>
      </c>
      <c r="J975" s="298">
        <f t="shared" si="192"/>
        <v>7</v>
      </c>
      <c r="K975" s="299">
        <f t="shared" si="193"/>
        <v>354740</v>
      </c>
      <c r="R975" s="497">
        <f t="shared" si="184"/>
        <v>354740</v>
      </c>
    </row>
    <row r="976" spans="2:18">
      <c r="B976" s="604">
        <f t="shared" si="185"/>
        <v>2872</v>
      </c>
      <c r="C976" s="297">
        <f t="shared" si="183"/>
        <v>27</v>
      </c>
      <c r="D976" s="297">
        <f t="shared" si="186"/>
        <v>4</v>
      </c>
      <c r="E976" s="297">
        <f t="shared" si="187"/>
        <v>3</v>
      </c>
      <c r="F976" s="298">
        <f t="shared" si="188"/>
        <v>0</v>
      </c>
      <c r="G976" s="298">
        <f t="shared" si="189"/>
        <v>2</v>
      </c>
      <c r="H976" s="298">
        <f t="shared" si="190"/>
        <v>24</v>
      </c>
      <c r="I976" s="298">
        <f t="shared" si="191"/>
        <v>2</v>
      </c>
      <c r="J976" s="298">
        <f t="shared" si="192"/>
        <v>26</v>
      </c>
      <c r="K976" s="299">
        <f t="shared" si="193"/>
        <v>355125</v>
      </c>
      <c r="R976" s="497">
        <f t="shared" si="184"/>
        <v>355125</v>
      </c>
    </row>
    <row r="977" spans="2:18">
      <c r="B977" s="604">
        <f t="shared" si="185"/>
        <v>2873</v>
      </c>
      <c r="C977" s="297">
        <f t="shared" si="183"/>
        <v>27</v>
      </c>
      <c r="D977" s="297">
        <f t="shared" si="186"/>
        <v>4</v>
      </c>
      <c r="E977" s="297">
        <f t="shared" si="187"/>
        <v>4</v>
      </c>
      <c r="F977" s="298">
        <f t="shared" si="188"/>
        <v>1</v>
      </c>
      <c r="G977" s="298">
        <f t="shared" si="189"/>
        <v>3</v>
      </c>
      <c r="H977" s="298">
        <f t="shared" si="190"/>
        <v>13</v>
      </c>
      <c r="I977" s="298">
        <f t="shared" si="191"/>
        <v>5</v>
      </c>
      <c r="J977" s="298">
        <f t="shared" si="192"/>
        <v>18</v>
      </c>
      <c r="K977" s="299">
        <f t="shared" si="193"/>
        <v>355482</v>
      </c>
      <c r="R977" s="497">
        <f t="shared" si="184"/>
        <v>355482</v>
      </c>
    </row>
    <row r="978" spans="2:18">
      <c r="B978" s="604">
        <f t="shared" si="185"/>
        <v>2874</v>
      </c>
      <c r="C978" s="297">
        <f t="shared" si="183"/>
        <v>27</v>
      </c>
      <c r="D978" s="297">
        <f t="shared" si="186"/>
        <v>4</v>
      </c>
      <c r="E978" s="297">
        <f t="shared" si="187"/>
        <v>5</v>
      </c>
      <c r="F978" s="298">
        <f t="shared" si="188"/>
        <v>2</v>
      </c>
      <c r="G978" s="298">
        <f t="shared" si="189"/>
        <v>4</v>
      </c>
      <c r="H978" s="298">
        <f t="shared" si="190"/>
        <v>2</v>
      </c>
      <c r="I978" s="298">
        <f t="shared" si="191"/>
        <v>1</v>
      </c>
      <c r="J978" s="298">
        <f t="shared" si="192"/>
        <v>3</v>
      </c>
      <c r="K978" s="299">
        <f t="shared" si="193"/>
        <v>355832</v>
      </c>
      <c r="R978" s="497">
        <f t="shared" si="184"/>
        <v>355832</v>
      </c>
    </row>
    <row r="979" spans="2:18">
      <c r="B979" s="604">
        <f t="shared" si="185"/>
        <v>2875</v>
      </c>
      <c r="C979" s="297">
        <f t="shared" si="183"/>
        <v>27</v>
      </c>
      <c r="D979" s="297">
        <f t="shared" si="186"/>
        <v>4</v>
      </c>
      <c r="E979" s="297">
        <f t="shared" si="187"/>
        <v>6</v>
      </c>
      <c r="F979" s="298">
        <f t="shared" si="188"/>
        <v>3</v>
      </c>
      <c r="G979" s="298">
        <f t="shared" si="189"/>
        <v>5</v>
      </c>
      <c r="H979" s="298">
        <f t="shared" si="190"/>
        <v>21</v>
      </c>
      <c r="I979" s="298">
        <f t="shared" si="191"/>
        <v>2</v>
      </c>
      <c r="J979" s="298">
        <f t="shared" si="192"/>
        <v>23</v>
      </c>
      <c r="K979" s="299">
        <f t="shared" si="193"/>
        <v>356217</v>
      </c>
      <c r="R979" s="497">
        <f t="shared" si="184"/>
        <v>356217</v>
      </c>
    </row>
    <row r="980" spans="2:18">
      <c r="B980" s="604">
        <f t="shared" si="185"/>
        <v>2876</v>
      </c>
      <c r="C980" s="297">
        <f t="shared" si="183"/>
        <v>27</v>
      </c>
      <c r="D980" s="297">
        <f t="shared" si="186"/>
        <v>4</v>
      </c>
      <c r="E980" s="297">
        <f t="shared" si="187"/>
        <v>7</v>
      </c>
      <c r="F980" s="298">
        <f t="shared" si="188"/>
        <v>0</v>
      </c>
      <c r="G980" s="298">
        <f t="shared" si="189"/>
        <v>6</v>
      </c>
      <c r="H980" s="298">
        <f t="shared" si="190"/>
        <v>10</v>
      </c>
      <c r="I980" s="298">
        <f t="shared" si="191"/>
        <v>4</v>
      </c>
      <c r="J980" s="298">
        <f t="shared" si="192"/>
        <v>14</v>
      </c>
      <c r="K980" s="299">
        <f t="shared" si="193"/>
        <v>356574</v>
      </c>
      <c r="R980" s="497">
        <f t="shared" si="184"/>
        <v>356574</v>
      </c>
    </row>
    <row r="981" spans="2:18">
      <c r="B981" s="604">
        <f t="shared" si="185"/>
        <v>2877</v>
      </c>
      <c r="C981" s="297">
        <f t="shared" si="183"/>
        <v>27</v>
      </c>
      <c r="D981" s="297">
        <f t="shared" si="186"/>
        <v>4</v>
      </c>
      <c r="E981" s="297">
        <f t="shared" si="187"/>
        <v>8</v>
      </c>
      <c r="F981" s="298">
        <f t="shared" si="188"/>
        <v>1</v>
      </c>
      <c r="G981" s="298">
        <f t="shared" si="189"/>
        <v>0</v>
      </c>
      <c r="H981" s="298">
        <f t="shared" si="190"/>
        <v>29</v>
      </c>
      <c r="I981" s="298">
        <f t="shared" si="191"/>
        <v>5</v>
      </c>
      <c r="J981" s="298">
        <f t="shared" si="192"/>
        <v>34</v>
      </c>
      <c r="K981" s="299">
        <f t="shared" si="193"/>
        <v>356959</v>
      </c>
      <c r="R981" s="497">
        <f t="shared" si="184"/>
        <v>356959</v>
      </c>
    </row>
    <row r="982" spans="2:18">
      <c r="B982" s="604">
        <f t="shared" si="185"/>
        <v>2878</v>
      </c>
      <c r="C982" s="297">
        <f t="shared" si="183"/>
        <v>27</v>
      </c>
      <c r="D982" s="297">
        <f t="shared" si="186"/>
        <v>4</v>
      </c>
      <c r="E982" s="297">
        <f t="shared" si="187"/>
        <v>9</v>
      </c>
      <c r="F982" s="298">
        <f t="shared" si="188"/>
        <v>2</v>
      </c>
      <c r="G982" s="298">
        <f t="shared" si="189"/>
        <v>1</v>
      </c>
      <c r="H982" s="298">
        <f t="shared" si="190"/>
        <v>18</v>
      </c>
      <c r="I982" s="298">
        <f t="shared" si="191"/>
        <v>1</v>
      </c>
      <c r="J982" s="298">
        <f t="shared" si="192"/>
        <v>19</v>
      </c>
      <c r="K982" s="299">
        <f t="shared" si="193"/>
        <v>357309</v>
      </c>
      <c r="R982" s="497">
        <f t="shared" si="184"/>
        <v>357309</v>
      </c>
    </row>
    <row r="983" spans="2:18">
      <c r="B983" s="604">
        <f t="shared" si="185"/>
        <v>2879</v>
      </c>
      <c r="C983" s="297">
        <f t="shared" si="183"/>
        <v>27</v>
      </c>
      <c r="D983" s="297">
        <f t="shared" si="186"/>
        <v>4</v>
      </c>
      <c r="E983" s="297">
        <f t="shared" si="187"/>
        <v>10</v>
      </c>
      <c r="F983" s="298">
        <f t="shared" si="188"/>
        <v>3</v>
      </c>
      <c r="G983" s="298">
        <f t="shared" si="189"/>
        <v>2</v>
      </c>
      <c r="H983" s="298">
        <f t="shared" si="190"/>
        <v>7</v>
      </c>
      <c r="I983" s="298">
        <f t="shared" si="191"/>
        <v>4</v>
      </c>
      <c r="J983" s="298">
        <f t="shared" si="192"/>
        <v>11</v>
      </c>
      <c r="K983" s="299">
        <f t="shared" si="193"/>
        <v>357666</v>
      </c>
      <c r="R983" s="497">
        <f t="shared" si="184"/>
        <v>357666</v>
      </c>
    </row>
    <row r="984" spans="2:18">
      <c r="B984" s="604">
        <f t="shared" si="185"/>
        <v>2880</v>
      </c>
      <c r="C984" s="297">
        <f t="shared" si="183"/>
        <v>27</v>
      </c>
      <c r="D984" s="297">
        <f t="shared" si="186"/>
        <v>4</v>
      </c>
      <c r="E984" s="297">
        <f t="shared" si="187"/>
        <v>11</v>
      </c>
      <c r="F984" s="298">
        <f t="shared" si="188"/>
        <v>0</v>
      </c>
      <c r="G984" s="298">
        <f t="shared" si="189"/>
        <v>3</v>
      </c>
      <c r="H984" s="298">
        <f t="shared" si="190"/>
        <v>26</v>
      </c>
      <c r="I984" s="298">
        <f t="shared" si="191"/>
        <v>4</v>
      </c>
      <c r="J984" s="298">
        <f t="shared" si="192"/>
        <v>30</v>
      </c>
      <c r="K984" s="299">
        <f t="shared" si="193"/>
        <v>358051</v>
      </c>
      <c r="R984" s="497">
        <f t="shared" si="184"/>
        <v>358051</v>
      </c>
    </row>
    <row r="985" spans="2:18">
      <c r="B985" s="604">
        <f t="shared" si="185"/>
        <v>2881</v>
      </c>
      <c r="C985" s="297">
        <f t="shared" si="183"/>
        <v>27</v>
      </c>
      <c r="D985" s="297">
        <f t="shared" si="186"/>
        <v>4</v>
      </c>
      <c r="E985" s="297">
        <f t="shared" si="187"/>
        <v>12</v>
      </c>
      <c r="F985" s="298">
        <f t="shared" si="188"/>
        <v>1</v>
      </c>
      <c r="G985" s="298">
        <f t="shared" si="189"/>
        <v>4</v>
      </c>
      <c r="H985" s="298">
        <f t="shared" si="190"/>
        <v>15</v>
      </c>
      <c r="I985" s="298">
        <f t="shared" si="191"/>
        <v>0</v>
      </c>
      <c r="J985" s="298">
        <f t="shared" si="192"/>
        <v>15</v>
      </c>
      <c r="K985" s="299">
        <f t="shared" si="193"/>
        <v>358401</v>
      </c>
      <c r="R985" s="497">
        <f t="shared" si="184"/>
        <v>358401</v>
      </c>
    </row>
    <row r="986" spans="2:18">
      <c r="B986" s="604">
        <f t="shared" si="185"/>
        <v>2882</v>
      </c>
      <c r="C986" s="297">
        <f t="shared" si="183"/>
        <v>27</v>
      </c>
      <c r="D986" s="297">
        <f t="shared" si="186"/>
        <v>4</v>
      </c>
      <c r="E986" s="297">
        <f t="shared" si="187"/>
        <v>13</v>
      </c>
      <c r="F986" s="298">
        <f t="shared" si="188"/>
        <v>2</v>
      </c>
      <c r="G986" s="298">
        <f t="shared" si="189"/>
        <v>5</v>
      </c>
      <c r="H986" s="298">
        <f t="shared" si="190"/>
        <v>4</v>
      </c>
      <c r="I986" s="298">
        <f t="shared" si="191"/>
        <v>3</v>
      </c>
      <c r="J986" s="298">
        <f t="shared" si="192"/>
        <v>7</v>
      </c>
      <c r="K986" s="299">
        <f t="shared" si="193"/>
        <v>358758</v>
      </c>
      <c r="R986" s="497">
        <f t="shared" si="184"/>
        <v>358758</v>
      </c>
    </row>
    <row r="987" spans="2:18">
      <c r="B987" s="604">
        <f t="shared" si="185"/>
        <v>2883</v>
      </c>
      <c r="C987" s="297">
        <f t="shared" si="183"/>
        <v>27</v>
      </c>
      <c r="D987" s="297">
        <f t="shared" si="186"/>
        <v>4</v>
      </c>
      <c r="E987" s="297">
        <f t="shared" si="187"/>
        <v>14</v>
      </c>
      <c r="F987" s="298">
        <f t="shared" si="188"/>
        <v>3</v>
      </c>
      <c r="G987" s="298">
        <f t="shared" si="189"/>
        <v>6</v>
      </c>
      <c r="H987" s="298">
        <f t="shared" si="190"/>
        <v>23</v>
      </c>
      <c r="I987" s="298">
        <f t="shared" si="191"/>
        <v>4</v>
      </c>
      <c r="J987" s="298">
        <f t="shared" si="192"/>
        <v>27</v>
      </c>
      <c r="K987" s="299">
        <f t="shared" si="193"/>
        <v>359143</v>
      </c>
      <c r="R987" s="497">
        <f t="shared" si="184"/>
        <v>359143</v>
      </c>
    </row>
    <row r="988" spans="2:18">
      <c r="B988" s="604">
        <f t="shared" si="185"/>
        <v>2884</v>
      </c>
      <c r="C988" s="297">
        <f t="shared" si="183"/>
        <v>27</v>
      </c>
      <c r="D988" s="297">
        <f t="shared" si="186"/>
        <v>4</v>
      </c>
      <c r="E988" s="297">
        <f t="shared" si="187"/>
        <v>15</v>
      </c>
      <c r="F988" s="298">
        <f t="shared" si="188"/>
        <v>0</v>
      </c>
      <c r="G988" s="298">
        <f t="shared" si="189"/>
        <v>0</v>
      </c>
      <c r="H988" s="298">
        <f t="shared" si="190"/>
        <v>12</v>
      </c>
      <c r="I988" s="298">
        <f t="shared" si="191"/>
        <v>6</v>
      </c>
      <c r="J988" s="298">
        <f t="shared" si="192"/>
        <v>18</v>
      </c>
      <c r="K988" s="299">
        <f t="shared" si="193"/>
        <v>359500</v>
      </c>
      <c r="R988" s="497">
        <f t="shared" si="184"/>
        <v>359500</v>
      </c>
    </row>
    <row r="989" spans="2:18">
      <c r="B989" s="604">
        <f t="shared" si="185"/>
        <v>2885</v>
      </c>
      <c r="C989" s="297">
        <f t="shared" si="183"/>
        <v>27</v>
      </c>
      <c r="D989" s="297">
        <f t="shared" si="186"/>
        <v>4</v>
      </c>
      <c r="E989" s="297">
        <f t="shared" si="187"/>
        <v>16</v>
      </c>
      <c r="F989" s="298">
        <f t="shared" si="188"/>
        <v>1</v>
      </c>
      <c r="G989" s="298">
        <f t="shared" si="189"/>
        <v>1</v>
      </c>
      <c r="H989" s="298">
        <f t="shared" si="190"/>
        <v>1</v>
      </c>
      <c r="I989" s="298">
        <f t="shared" si="191"/>
        <v>2</v>
      </c>
      <c r="J989" s="298">
        <f t="shared" si="192"/>
        <v>3</v>
      </c>
      <c r="K989" s="299">
        <f t="shared" si="193"/>
        <v>359850</v>
      </c>
      <c r="R989" s="497">
        <f t="shared" si="184"/>
        <v>359850</v>
      </c>
    </row>
    <row r="990" spans="2:18">
      <c r="B990" s="604">
        <f t="shared" si="185"/>
        <v>2886</v>
      </c>
      <c r="C990" s="297">
        <f t="shared" si="183"/>
        <v>27</v>
      </c>
      <c r="D990" s="297">
        <f t="shared" si="186"/>
        <v>4</v>
      </c>
      <c r="E990" s="297">
        <f t="shared" si="187"/>
        <v>17</v>
      </c>
      <c r="F990" s="298">
        <f t="shared" si="188"/>
        <v>2</v>
      </c>
      <c r="G990" s="298">
        <f t="shared" si="189"/>
        <v>2</v>
      </c>
      <c r="H990" s="298">
        <f t="shared" si="190"/>
        <v>20</v>
      </c>
      <c r="I990" s="298">
        <f t="shared" si="191"/>
        <v>3</v>
      </c>
      <c r="J990" s="298">
        <f t="shared" si="192"/>
        <v>23</v>
      </c>
      <c r="K990" s="299">
        <f t="shared" si="193"/>
        <v>360235</v>
      </c>
      <c r="R990" s="497">
        <f t="shared" si="184"/>
        <v>360235</v>
      </c>
    </row>
    <row r="991" spans="2:18">
      <c r="B991" s="604">
        <f t="shared" si="185"/>
        <v>2887</v>
      </c>
      <c r="C991" s="297">
        <f t="shared" si="183"/>
        <v>27</v>
      </c>
      <c r="D991" s="297">
        <f t="shared" si="186"/>
        <v>4</v>
      </c>
      <c r="E991" s="297">
        <f t="shared" si="187"/>
        <v>18</v>
      </c>
      <c r="F991" s="298">
        <f t="shared" si="188"/>
        <v>3</v>
      </c>
      <c r="G991" s="298">
        <f t="shared" si="189"/>
        <v>3</v>
      </c>
      <c r="H991" s="298">
        <f t="shared" si="190"/>
        <v>9</v>
      </c>
      <c r="I991" s="298">
        <f t="shared" si="191"/>
        <v>6</v>
      </c>
      <c r="J991" s="298">
        <f t="shared" si="192"/>
        <v>15</v>
      </c>
      <c r="K991" s="299">
        <f t="shared" si="193"/>
        <v>360592</v>
      </c>
      <c r="R991" s="497">
        <f t="shared" si="184"/>
        <v>360592</v>
      </c>
    </row>
    <row r="992" spans="2:18">
      <c r="B992" s="604">
        <f t="shared" si="185"/>
        <v>2888</v>
      </c>
      <c r="C992" s="297">
        <f t="shared" si="183"/>
        <v>27</v>
      </c>
      <c r="D992" s="297">
        <f t="shared" si="186"/>
        <v>4</v>
      </c>
      <c r="E992" s="297">
        <f t="shared" si="187"/>
        <v>0</v>
      </c>
      <c r="F992" s="298">
        <f t="shared" si="188"/>
        <v>0</v>
      </c>
      <c r="G992" s="298">
        <f t="shared" si="189"/>
        <v>4</v>
      </c>
      <c r="H992" s="298">
        <f t="shared" si="190"/>
        <v>27</v>
      </c>
      <c r="I992" s="298">
        <f t="shared" si="191"/>
        <v>0</v>
      </c>
      <c r="J992" s="298">
        <f t="shared" si="192"/>
        <v>27</v>
      </c>
      <c r="K992" s="299">
        <f t="shared" si="193"/>
        <v>360970</v>
      </c>
      <c r="R992" s="497">
        <f t="shared" si="184"/>
        <v>360970</v>
      </c>
    </row>
    <row r="993" spans="2:18">
      <c r="B993" s="604">
        <f t="shared" si="185"/>
        <v>2889</v>
      </c>
      <c r="C993" s="297">
        <f t="shared" si="183"/>
        <v>27</v>
      </c>
      <c r="D993" s="297">
        <f t="shared" si="186"/>
        <v>4</v>
      </c>
      <c r="E993" s="297">
        <f t="shared" si="187"/>
        <v>1</v>
      </c>
      <c r="F993" s="298">
        <f t="shared" si="188"/>
        <v>1</v>
      </c>
      <c r="G993" s="298">
        <f t="shared" si="189"/>
        <v>5</v>
      </c>
      <c r="H993" s="298">
        <f t="shared" si="190"/>
        <v>16</v>
      </c>
      <c r="I993" s="298">
        <f t="shared" si="191"/>
        <v>3</v>
      </c>
      <c r="J993" s="298">
        <f t="shared" si="192"/>
        <v>19</v>
      </c>
      <c r="K993" s="299">
        <f t="shared" si="193"/>
        <v>361327</v>
      </c>
      <c r="R993" s="497">
        <f t="shared" si="184"/>
        <v>361327</v>
      </c>
    </row>
    <row r="994" spans="2:18">
      <c r="B994" s="604">
        <f t="shared" si="185"/>
        <v>2890</v>
      </c>
      <c r="C994" s="297">
        <f t="shared" si="183"/>
        <v>27</v>
      </c>
      <c r="D994" s="297">
        <f t="shared" si="186"/>
        <v>4</v>
      </c>
      <c r="E994" s="297">
        <f t="shared" si="187"/>
        <v>2</v>
      </c>
      <c r="F994" s="298">
        <f t="shared" si="188"/>
        <v>2</v>
      </c>
      <c r="G994" s="298">
        <f t="shared" si="189"/>
        <v>6</v>
      </c>
      <c r="H994" s="298">
        <f t="shared" si="190"/>
        <v>5</v>
      </c>
      <c r="I994" s="298">
        <f t="shared" si="191"/>
        <v>6</v>
      </c>
      <c r="J994" s="298">
        <f t="shared" si="192"/>
        <v>11</v>
      </c>
      <c r="K994" s="299">
        <f t="shared" si="193"/>
        <v>361684</v>
      </c>
      <c r="R994" s="497">
        <f t="shared" si="184"/>
        <v>361684</v>
      </c>
    </row>
    <row r="995" spans="2:18">
      <c r="B995" s="604">
        <f t="shared" si="185"/>
        <v>2891</v>
      </c>
      <c r="C995" s="297">
        <f t="shared" si="183"/>
        <v>27</v>
      </c>
      <c r="D995" s="297">
        <f t="shared" si="186"/>
        <v>4</v>
      </c>
      <c r="E995" s="297">
        <f t="shared" si="187"/>
        <v>3</v>
      </c>
      <c r="F995" s="298">
        <f t="shared" si="188"/>
        <v>3</v>
      </c>
      <c r="G995" s="298">
        <f t="shared" si="189"/>
        <v>0</v>
      </c>
      <c r="H995" s="298">
        <f t="shared" si="190"/>
        <v>24</v>
      </c>
      <c r="I995" s="298">
        <f t="shared" si="191"/>
        <v>0</v>
      </c>
      <c r="J995" s="298">
        <f t="shared" si="192"/>
        <v>24</v>
      </c>
      <c r="K995" s="299">
        <f t="shared" si="193"/>
        <v>362062</v>
      </c>
      <c r="R995" s="497">
        <f t="shared" si="184"/>
        <v>362062</v>
      </c>
    </row>
    <row r="996" spans="2:18">
      <c r="B996" s="604">
        <f t="shared" si="185"/>
        <v>2892</v>
      </c>
      <c r="C996" s="297">
        <f t="shared" si="183"/>
        <v>27</v>
      </c>
      <c r="D996" s="297">
        <f t="shared" si="186"/>
        <v>4</v>
      </c>
      <c r="E996" s="297">
        <f t="shared" si="187"/>
        <v>4</v>
      </c>
      <c r="F996" s="298">
        <f t="shared" si="188"/>
        <v>0</v>
      </c>
      <c r="G996" s="298">
        <f t="shared" si="189"/>
        <v>1</v>
      </c>
      <c r="H996" s="298">
        <f t="shared" si="190"/>
        <v>13</v>
      </c>
      <c r="I996" s="298">
        <f t="shared" si="191"/>
        <v>2</v>
      </c>
      <c r="J996" s="298">
        <f t="shared" si="192"/>
        <v>15</v>
      </c>
      <c r="K996" s="299">
        <f t="shared" si="193"/>
        <v>362419</v>
      </c>
      <c r="R996" s="497">
        <f t="shared" si="184"/>
        <v>362419</v>
      </c>
    </row>
    <row r="997" spans="2:18">
      <c r="B997" s="604">
        <f t="shared" si="185"/>
        <v>2893</v>
      </c>
      <c r="C997" s="297">
        <f t="shared" si="183"/>
        <v>27</v>
      </c>
      <c r="D997" s="297">
        <f t="shared" si="186"/>
        <v>4</v>
      </c>
      <c r="E997" s="297">
        <f t="shared" si="187"/>
        <v>5</v>
      </c>
      <c r="F997" s="298">
        <f t="shared" si="188"/>
        <v>1</v>
      </c>
      <c r="G997" s="298">
        <f t="shared" si="189"/>
        <v>2</v>
      </c>
      <c r="H997" s="298">
        <f t="shared" si="190"/>
        <v>2</v>
      </c>
      <c r="I997" s="298">
        <f t="shared" si="191"/>
        <v>5</v>
      </c>
      <c r="J997" s="298">
        <f t="shared" si="192"/>
        <v>7</v>
      </c>
      <c r="K997" s="299">
        <f t="shared" si="193"/>
        <v>362776</v>
      </c>
      <c r="R997" s="497">
        <f t="shared" si="184"/>
        <v>362776</v>
      </c>
    </row>
    <row r="998" spans="2:18">
      <c r="B998" s="604">
        <f t="shared" si="185"/>
        <v>2894</v>
      </c>
      <c r="C998" s="297">
        <f t="shared" si="183"/>
        <v>27</v>
      </c>
      <c r="D998" s="297">
        <f t="shared" si="186"/>
        <v>4</v>
      </c>
      <c r="E998" s="297">
        <f t="shared" si="187"/>
        <v>6</v>
      </c>
      <c r="F998" s="298">
        <f t="shared" si="188"/>
        <v>2</v>
      </c>
      <c r="G998" s="298">
        <f t="shared" si="189"/>
        <v>3</v>
      </c>
      <c r="H998" s="298">
        <f t="shared" si="190"/>
        <v>21</v>
      </c>
      <c r="I998" s="298">
        <f t="shared" si="191"/>
        <v>6</v>
      </c>
      <c r="J998" s="298">
        <f t="shared" si="192"/>
        <v>27</v>
      </c>
      <c r="K998" s="299">
        <f t="shared" si="193"/>
        <v>363161</v>
      </c>
      <c r="R998" s="497">
        <f t="shared" si="184"/>
        <v>363161</v>
      </c>
    </row>
    <row r="999" spans="2:18">
      <c r="B999" s="604">
        <f t="shared" si="185"/>
        <v>2895</v>
      </c>
      <c r="C999" s="297">
        <f t="shared" si="183"/>
        <v>27</v>
      </c>
      <c r="D999" s="297">
        <f t="shared" si="186"/>
        <v>4</v>
      </c>
      <c r="E999" s="297">
        <f t="shared" si="187"/>
        <v>7</v>
      </c>
      <c r="F999" s="298">
        <f t="shared" si="188"/>
        <v>3</v>
      </c>
      <c r="G999" s="298">
        <f t="shared" si="189"/>
        <v>4</v>
      </c>
      <c r="H999" s="298">
        <f t="shared" si="190"/>
        <v>10</v>
      </c>
      <c r="I999" s="298">
        <f t="shared" si="191"/>
        <v>2</v>
      </c>
      <c r="J999" s="298">
        <f t="shared" si="192"/>
        <v>12</v>
      </c>
      <c r="K999" s="299">
        <f t="shared" si="193"/>
        <v>363511</v>
      </c>
      <c r="R999" s="497">
        <f t="shared" si="184"/>
        <v>363511</v>
      </c>
    </row>
    <row r="1000" spans="2:18">
      <c r="B1000" s="604">
        <f t="shared" si="185"/>
        <v>2896</v>
      </c>
      <c r="C1000" s="297">
        <f t="shared" si="183"/>
        <v>27</v>
      </c>
      <c r="D1000" s="297">
        <f t="shared" si="186"/>
        <v>4</v>
      </c>
      <c r="E1000" s="297">
        <f t="shared" si="187"/>
        <v>8</v>
      </c>
      <c r="F1000" s="298">
        <f t="shared" si="188"/>
        <v>0</v>
      </c>
      <c r="G1000" s="298">
        <f t="shared" si="189"/>
        <v>5</v>
      </c>
      <c r="H1000" s="298">
        <f t="shared" si="190"/>
        <v>29</v>
      </c>
      <c r="I1000" s="298">
        <f t="shared" si="191"/>
        <v>2</v>
      </c>
      <c r="J1000" s="298">
        <f t="shared" si="192"/>
        <v>31</v>
      </c>
      <c r="K1000" s="299">
        <f t="shared" si="193"/>
        <v>363896</v>
      </c>
      <c r="R1000" s="497">
        <f t="shared" si="184"/>
        <v>363896</v>
      </c>
    </row>
    <row r="1001" spans="2:18">
      <c r="B1001" s="604">
        <f t="shared" si="185"/>
        <v>2897</v>
      </c>
      <c r="C1001" s="297">
        <f t="shared" si="183"/>
        <v>27</v>
      </c>
      <c r="D1001" s="297">
        <f t="shared" si="186"/>
        <v>4</v>
      </c>
      <c r="E1001" s="297">
        <f t="shared" si="187"/>
        <v>9</v>
      </c>
      <c r="F1001" s="298">
        <f t="shared" si="188"/>
        <v>1</v>
      </c>
      <c r="G1001" s="298">
        <f t="shared" si="189"/>
        <v>6</v>
      </c>
      <c r="H1001" s="298">
        <f t="shared" si="190"/>
        <v>18</v>
      </c>
      <c r="I1001" s="298">
        <f t="shared" si="191"/>
        <v>5</v>
      </c>
      <c r="J1001" s="298">
        <f t="shared" si="192"/>
        <v>23</v>
      </c>
      <c r="K1001" s="299">
        <f t="shared" si="193"/>
        <v>364253</v>
      </c>
      <c r="R1001" s="497">
        <f t="shared" si="184"/>
        <v>364253</v>
      </c>
    </row>
    <row r="1002" spans="2:18">
      <c r="B1002" s="604">
        <f t="shared" si="185"/>
        <v>2898</v>
      </c>
      <c r="C1002" s="297">
        <f t="shared" si="183"/>
        <v>27</v>
      </c>
      <c r="D1002" s="297">
        <f t="shared" si="186"/>
        <v>4</v>
      </c>
      <c r="E1002" s="297">
        <f t="shared" si="187"/>
        <v>10</v>
      </c>
      <c r="F1002" s="298">
        <f t="shared" si="188"/>
        <v>2</v>
      </c>
      <c r="G1002" s="298">
        <f t="shared" si="189"/>
        <v>0</v>
      </c>
      <c r="H1002" s="298">
        <f t="shared" si="190"/>
        <v>7</v>
      </c>
      <c r="I1002" s="298">
        <f t="shared" si="191"/>
        <v>1</v>
      </c>
      <c r="J1002" s="298">
        <f t="shared" si="192"/>
        <v>8</v>
      </c>
      <c r="K1002" s="299">
        <f t="shared" si="193"/>
        <v>364603</v>
      </c>
      <c r="R1002" s="497">
        <f t="shared" si="184"/>
        <v>364603</v>
      </c>
    </row>
    <row r="1003" spans="2:18">
      <c r="B1003" s="604">
        <f t="shared" si="185"/>
        <v>2899</v>
      </c>
      <c r="C1003" s="297">
        <f t="shared" si="183"/>
        <v>27</v>
      </c>
      <c r="D1003" s="297">
        <f t="shared" si="186"/>
        <v>4</v>
      </c>
      <c r="E1003" s="297">
        <f t="shared" si="187"/>
        <v>11</v>
      </c>
      <c r="F1003" s="298">
        <f t="shared" si="188"/>
        <v>3</v>
      </c>
      <c r="G1003" s="298">
        <f t="shared" si="189"/>
        <v>1</v>
      </c>
      <c r="H1003" s="298">
        <f t="shared" si="190"/>
        <v>26</v>
      </c>
      <c r="I1003" s="298">
        <f t="shared" si="191"/>
        <v>2</v>
      </c>
      <c r="J1003" s="298">
        <f t="shared" si="192"/>
        <v>28</v>
      </c>
      <c r="K1003" s="299">
        <f t="shared" si="193"/>
        <v>364988</v>
      </c>
      <c r="R1003" s="497">
        <f t="shared" si="184"/>
        <v>364988</v>
      </c>
    </row>
    <row r="1004" spans="2:18">
      <c r="B1004" s="604">
        <f t="shared" si="185"/>
        <v>2900</v>
      </c>
      <c r="C1004" s="297">
        <f t="shared" si="183"/>
        <v>28</v>
      </c>
      <c r="D1004" s="297">
        <f t="shared" si="186"/>
        <v>5</v>
      </c>
      <c r="E1004" s="297">
        <f t="shared" si="187"/>
        <v>12</v>
      </c>
      <c r="F1004" s="298">
        <f t="shared" si="188"/>
        <v>0</v>
      </c>
      <c r="G1004" s="298">
        <f t="shared" si="189"/>
        <v>2</v>
      </c>
      <c r="H1004" s="298">
        <f t="shared" si="190"/>
        <v>16</v>
      </c>
      <c r="I1004" s="298">
        <f t="shared" si="191"/>
        <v>4</v>
      </c>
      <c r="J1004" s="298">
        <f t="shared" si="192"/>
        <v>20</v>
      </c>
      <c r="K1004" s="299">
        <f t="shared" si="193"/>
        <v>365345</v>
      </c>
      <c r="R1004" s="497">
        <f t="shared" si="184"/>
        <v>365345</v>
      </c>
    </row>
    <row r="1005" spans="2:18">
      <c r="B1005" s="604">
        <f t="shared" si="185"/>
        <v>2901</v>
      </c>
      <c r="C1005" s="297">
        <f t="shared" si="183"/>
        <v>28</v>
      </c>
      <c r="D1005" s="297">
        <f t="shared" si="186"/>
        <v>5</v>
      </c>
      <c r="E1005" s="297">
        <f t="shared" si="187"/>
        <v>13</v>
      </c>
      <c r="F1005" s="298">
        <f t="shared" si="188"/>
        <v>1</v>
      </c>
      <c r="G1005" s="298">
        <f t="shared" si="189"/>
        <v>3</v>
      </c>
      <c r="H1005" s="298">
        <f t="shared" si="190"/>
        <v>5</v>
      </c>
      <c r="I1005" s="298">
        <f t="shared" si="191"/>
        <v>0</v>
      </c>
      <c r="J1005" s="298">
        <f t="shared" si="192"/>
        <v>5</v>
      </c>
      <c r="K1005" s="299">
        <f t="shared" si="193"/>
        <v>365695</v>
      </c>
      <c r="R1005" s="497">
        <f t="shared" si="184"/>
        <v>365695</v>
      </c>
    </row>
    <row r="1006" spans="2:18">
      <c r="B1006" s="604">
        <f t="shared" si="185"/>
        <v>2902</v>
      </c>
      <c r="C1006" s="297">
        <f t="shared" si="183"/>
        <v>28</v>
      </c>
      <c r="D1006" s="297">
        <f t="shared" si="186"/>
        <v>5</v>
      </c>
      <c r="E1006" s="297">
        <f t="shared" si="187"/>
        <v>14</v>
      </c>
      <c r="F1006" s="298">
        <f t="shared" si="188"/>
        <v>2</v>
      </c>
      <c r="G1006" s="298">
        <f t="shared" si="189"/>
        <v>4</v>
      </c>
      <c r="H1006" s="298">
        <f t="shared" si="190"/>
        <v>24</v>
      </c>
      <c r="I1006" s="298">
        <f t="shared" si="191"/>
        <v>1</v>
      </c>
      <c r="J1006" s="298">
        <f t="shared" si="192"/>
        <v>25</v>
      </c>
      <c r="K1006" s="299">
        <f t="shared" si="193"/>
        <v>366080</v>
      </c>
      <c r="R1006" s="497">
        <f t="shared" si="184"/>
        <v>366080</v>
      </c>
    </row>
    <row r="1007" spans="2:18">
      <c r="B1007" s="604">
        <f t="shared" si="185"/>
        <v>2903</v>
      </c>
      <c r="C1007" s="297">
        <f t="shared" si="183"/>
        <v>28</v>
      </c>
      <c r="D1007" s="297">
        <f t="shared" si="186"/>
        <v>5</v>
      </c>
      <c r="E1007" s="297">
        <f t="shared" si="187"/>
        <v>15</v>
      </c>
      <c r="F1007" s="298">
        <f t="shared" si="188"/>
        <v>3</v>
      </c>
      <c r="G1007" s="298">
        <f t="shared" si="189"/>
        <v>5</v>
      </c>
      <c r="H1007" s="298">
        <f t="shared" si="190"/>
        <v>13</v>
      </c>
      <c r="I1007" s="298">
        <f t="shared" si="191"/>
        <v>4</v>
      </c>
      <c r="J1007" s="298">
        <f t="shared" si="192"/>
        <v>17</v>
      </c>
      <c r="K1007" s="299">
        <f t="shared" si="193"/>
        <v>366437</v>
      </c>
      <c r="R1007" s="497">
        <f t="shared" si="184"/>
        <v>366437</v>
      </c>
    </row>
    <row r="1008" spans="2:18">
      <c r="B1008" s="604">
        <f t="shared" si="185"/>
        <v>2904</v>
      </c>
      <c r="C1008" s="297">
        <f t="shared" si="183"/>
        <v>28</v>
      </c>
      <c r="D1008" s="297">
        <f t="shared" si="186"/>
        <v>5</v>
      </c>
      <c r="E1008" s="297">
        <f t="shared" si="187"/>
        <v>16</v>
      </c>
      <c r="F1008" s="298">
        <f t="shared" si="188"/>
        <v>0</v>
      </c>
      <c r="G1008" s="298">
        <f t="shared" si="189"/>
        <v>6</v>
      </c>
      <c r="H1008" s="298">
        <f t="shared" si="190"/>
        <v>2</v>
      </c>
      <c r="I1008" s="298">
        <f t="shared" si="191"/>
        <v>6</v>
      </c>
      <c r="J1008" s="298">
        <f t="shared" si="192"/>
        <v>8</v>
      </c>
      <c r="K1008" s="299">
        <f t="shared" si="193"/>
        <v>366794</v>
      </c>
      <c r="R1008" s="497">
        <f t="shared" si="184"/>
        <v>366794</v>
      </c>
    </row>
    <row r="1009" spans="2:18">
      <c r="B1009" s="604">
        <f t="shared" si="185"/>
        <v>2905</v>
      </c>
      <c r="C1009" s="297">
        <f t="shared" si="183"/>
        <v>28</v>
      </c>
      <c r="D1009" s="297">
        <f t="shared" si="186"/>
        <v>5</v>
      </c>
      <c r="E1009" s="297">
        <f t="shared" si="187"/>
        <v>17</v>
      </c>
      <c r="F1009" s="298">
        <f t="shared" si="188"/>
        <v>1</v>
      </c>
      <c r="G1009" s="298">
        <f t="shared" si="189"/>
        <v>0</v>
      </c>
      <c r="H1009" s="298">
        <f t="shared" si="190"/>
        <v>21</v>
      </c>
      <c r="I1009" s="298">
        <f t="shared" si="191"/>
        <v>0</v>
      </c>
      <c r="J1009" s="298">
        <f t="shared" si="192"/>
        <v>21</v>
      </c>
      <c r="K1009" s="299">
        <f t="shared" si="193"/>
        <v>367172</v>
      </c>
      <c r="R1009" s="497">
        <f t="shared" si="184"/>
        <v>367172</v>
      </c>
    </row>
    <row r="1010" spans="2:18">
      <c r="B1010" s="604">
        <f t="shared" si="185"/>
        <v>2906</v>
      </c>
      <c r="C1010" s="297">
        <f t="shared" si="183"/>
        <v>28</v>
      </c>
      <c r="D1010" s="297">
        <f t="shared" si="186"/>
        <v>5</v>
      </c>
      <c r="E1010" s="297">
        <f t="shared" si="187"/>
        <v>18</v>
      </c>
      <c r="F1010" s="298">
        <f t="shared" si="188"/>
        <v>2</v>
      </c>
      <c r="G1010" s="298">
        <f t="shared" si="189"/>
        <v>1</v>
      </c>
      <c r="H1010" s="298">
        <f t="shared" si="190"/>
        <v>10</v>
      </c>
      <c r="I1010" s="298">
        <f t="shared" si="191"/>
        <v>3</v>
      </c>
      <c r="J1010" s="298">
        <f t="shared" si="192"/>
        <v>13</v>
      </c>
      <c r="K1010" s="299">
        <f t="shared" si="193"/>
        <v>367529</v>
      </c>
      <c r="R1010" s="497">
        <f t="shared" si="184"/>
        <v>367529</v>
      </c>
    </row>
    <row r="1011" spans="2:18">
      <c r="B1011" s="604">
        <f t="shared" si="185"/>
        <v>2907</v>
      </c>
      <c r="C1011" s="297">
        <f t="shared" si="183"/>
        <v>28</v>
      </c>
      <c r="D1011" s="297">
        <f t="shared" si="186"/>
        <v>5</v>
      </c>
      <c r="E1011" s="297">
        <f t="shared" si="187"/>
        <v>0</v>
      </c>
      <c r="F1011" s="298">
        <f t="shared" si="188"/>
        <v>3</v>
      </c>
      <c r="G1011" s="298">
        <f t="shared" si="189"/>
        <v>2</v>
      </c>
      <c r="H1011" s="298">
        <f t="shared" si="190"/>
        <v>28</v>
      </c>
      <c r="I1011" s="298">
        <f t="shared" si="191"/>
        <v>5</v>
      </c>
      <c r="J1011" s="298">
        <f t="shared" si="192"/>
        <v>33</v>
      </c>
      <c r="K1011" s="299">
        <f t="shared" si="193"/>
        <v>367914</v>
      </c>
      <c r="R1011" s="497">
        <f t="shared" si="184"/>
        <v>367914</v>
      </c>
    </row>
    <row r="1012" spans="2:18">
      <c r="B1012" s="604">
        <f t="shared" si="185"/>
        <v>2908</v>
      </c>
      <c r="C1012" s="297">
        <f t="shared" si="183"/>
        <v>28</v>
      </c>
      <c r="D1012" s="297">
        <f t="shared" si="186"/>
        <v>5</v>
      </c>
      <c r="E1012" s="297">
        <f t="shared" si="187"/>
        <v>1</v>
      </c>
      <c r="F1012" s="298">
        <f t="shared" si="188"/>
        <v>0</v>
      </c>
      <c r="G1012" s="298">
        <f t="shared" si="189"/>
        <v>3</v>
      </c>
      <c r="H1012" s="298">
        <f t="shared" si="190"/>
        <v>17</v>
      </c>
      <c r="I1012" s="298">
        <f t="shared" si="191"/>
        <v>0</v>
      </c>
      <c r="J1012" s="298">
        <f t="shared" si="192"/>
        <v>17</v>
      </c>
      <c r="K1012" s="299">
        <f t="shared" si="193"/>
        <v>368264</v>
      </c>
      <c r="R1012" s="497">
        <f t="shared" si="184"/>
        <v>368264</v>
      </c>
    </row>
    <row r="1013" spans="2:18">
      <c r="B1013" s="604">
        <f t="shared" si="185"/>
        <v>2909</v>
      </c>
      <c r="C1013" s="297">
        <f t="shared" si="183"/>
        <v>28</v>
      </c>
      <c r="D1013" s="297">
        <f t="shared" si="186"/>
        <v>5</v>
      </c>
      <c r="E1013" s="297">
        <f t="shared" si="187"/>
        <v>2</v>
      </c>
      <c r="F1013" s="298">
        <f t="shared" si="188"/>
        <v>1</v>
      </c>
      <c r="G1013" s="298">
        <f t="shared" si="189"/>
        <v>4</v>
      </c>
      <c r="H1013" s="298">
        <f t="shared" si="190"/>
        <v>6</v>
      </c>
      <c r="I1013" s="298">
        <f t="shared" si="191"/>
        <v>3</v>
      </c>
      <c r="J1013" s="298">
        <f t="shared" si="192"/>
        <v>9</v>
      </c>
      <c r="K1013" s="299">
        <f t="shared" si="193"/>
        <v>368621</v>
      </c>
      <c r="R1013" s="497">
        <f t="shared" si="184"/>
        <v>368621</v>
      </c>
    </row>
    <row r="1014" spans="2:18">
      <c r="B1014" s="604">
        <f t="shared" si="185"/>
        <v>2910</v>
      </c>
      <c r="C1014" s="297">
        <f t="shared" si="183"/>
        <v>28</v>
      </c>
      <c r="D1014" s="297">
        <f t="shared" si="186"/>
        <v>5</v>
      </c>
      <c r="E1014" s="297">
        <f t="shared" si="187"/>
        <v>3</v>
      </c>
      <c r="F1014" s="298">
        <f t="shared" si="188"/>
        <v>2</v>
      </c>
      <c r="G1014" s="298">
        <f t="shared" si="189"/>
        <v>5</v>
      </c>
      <c r="H1014" s="298">
        <f t="shared" si="190"/>
        <v>25</v>
      </c>
      <c r="I1014" s="298">
        <f t="shared" si="191"/>
        <v>4</v>
      </c>
      <c r="J1014" s="298">
        <f t="shared" si="192"/>
        <v>29</v>
      </c>
      <c r="K1014" s="299">
        <f t="shared" si="193"/>
        <v>369006</v>
      </c>
      <c r="R1014" s="497">
        <f t="shared" si="184"/>
        <v>369006</v>
      </c>
    </row>
    <row r="1015" spans="2:18">
      <c r="B1015" s="604">
        <f t="shared" si="185"/>
        <v>2911</v>
      </c>
      <c r="C1015" s="297">
        <f t="shared" si="183"/>
        <v>28</v>
      </c>
      <c r="D1015" s="297">
        <f t="shared" si="186"/>
        <v>5</v>
      </c>
      <c r="E1015" s="297">
        <f t="shared" si="187"/>
        <v>4</v>
      </c>
      <c r="F1015" s="298">
        <f t="shared" si="188"/>
        <v>3</v>
      </c>
      <c r="G1015" s="298">
        <f t="shared" si="189"/>
        <v>6</v>
      </c>
      <c r="H1015" s="298">
        <f t="shared" si="190"/>
        <v>14</v>
      </c>
      <c r="I1015" s="298">
        <f t="shared" si="191"/>
        <v>0</v>
      </c>
      <c r="J1015" s="298">
        <f t="shared" si="192"/>
        <v>14</v>
      </c>
      <c r="K1015" s="299">
        <f t="shared" si="193"/>
        <v>369356</v>
      </c>
      <c r="R1015" s="497">
        <f t="shared" si="184"/>
        <v>369356</v>
      </c>
    </row>
    <row r="1016" spans="2:18">
      <c r="B1016" s="604">
        <f t="shared" si="185"/>
        <v>2912</v>
      </c>
      <c r="C1016" s="297">
        <f t="shared" si="183"/>
        <v>28</v>
      </c>
      <c r="D1016" s="297">
        <f t="shared" si="186"/>
        <v>5</v>
      </c>
      <c r="E1016" s="297">
        <f t="shared" si="187"/>
        <v>5</v>
      </c>
      <c r="F1016" s="298">
        <f t="shared" si="188"/>
        <v>0</v>
      </c>
      <c r="G1016" s="298">
        <f t="shared" si="189"/>
        <v>0</v>
      </c>
      <c r="H1016" s="298">
        <f t="shared" si="190"/>
        <v>3</v>
      </c>
      <c r="I1016" s="298">
        <f t="shared" si="191"/>
        <v>2</v>
      </c>
      <c r="J1016" s="298">
        <f t="shared" si="192"/>
        <v>5</v>
      </c>
      <c r="K1016" s="299">
        <f t="shared" si="193"/>
        <v>369713</v>
      </c>
      <c r="R1016" s="497">
        <f t="shared" si="184"/>
        <v>369713</v>
      </c>
    </row>
    <row r="1017" spans="2:18">
      <c r="B1017" s="604">
        <f t="shared" si="185"/>
        <v>2913</v>
      </c>
      <c r="C1017" s="297">
        <f t="shared" si="183"/>
        <v>28</v>
      </c>
      <c r="D1017" s="297">
        <f t="shared" si="186"/>
        <v>5</v>
      </c>
      <c r="E1017" s="297">
        <f t="shared" si="187"/>
        <v>6</v>
      </c>
      <c r="F1017" s="298">
        <f t="shared" si="188"/>
        <v>1</v>
      </c>
      <c r="G1017" s="298">
        <f t="shared" si="189"/>
        <v>1</v>
      </c>
      <c r="H1017" s="298">
        <f t="shared" si="190"/>
        <v>22</v>
      </c>
      <c r="I1017" s="298">
        <f t="shared" si="191"/>
        <v>3</v>
      </c>
      <c r="J1017" s="298">
        <f t="shared" si="192"/>
        <v>25</v>
      </c>
      <c r="K1017" s="299">
        <f t="shared" si="193"/>
        <v>370098</v>
      </c>
      <c r="R1017" s="497">
        <f t="shared" si="184"/>
        <v>370098</v>
      </c>
    </row>
    <row r="1018" spans="2:18">
      <c r="B1018" s="604">
        <f t="shared" si="185"/>
        <v>2914</v>
      </c>
      <c r="C1018" s="297">
        <f t="shared" si="183"/>
        <v>28</v>
      </c>
      <c r="D1018" s="297">
        <f t="shared" si="186"/>
        <v>5</v>
      </c>
      <c r="E1018" s="297">
        <f t="shared" si="187"/>
        <v>7</v>
      </c>
      <c r="F1018" s="298">
        <f t="shared" si="188"/>
        <v>2</v>
      </c>
      <c r="G1018" s="298">
        <f t="shared" si="189"/>
        <v>2</v>
      </c>
      <c r="H1018" s="298">
        <f t="shared" si="190"/>
        <v>11</v>
      </c>
      <c r="I1018" s="298">
        <f t="shared" si="191"/>
        <v>6</v>
      </c>
      <c r="J1018" s="298">
        <f t="shared" si="192"/>
        <v>17</v>
      </c>
      <c r="K1018" s="299">
        <f t="shared" si="193"/>
        <v>370455</v>
      </c>
      <c r="R1018" s="497">
        <f t="shared" si="184"/>
        <v>370455</v>
      </c>
    </row>
    <row r="1019" spans="2:18">
      <c r="B1019" s="604">
        <f t="shared" si="185"/>
        <v>2915</v>
      </c>
      <c r="C1019" s="297">
        <f t="shared" si="183"/>
        <v>28</v>
      </c>
      <c r="D1019" s="297">
        <f t="shared" si="186"/>
        <v>5</v>
      </c>
      <c r="E1019" s="297">
        <f t="shared" si="187"/>
        <v>8</v>
      </c>
      <c r="F1019" s="298">
        <f t="shared" si="188"/>
        <v>3</v>
      </c>
      <c r="G1019" s="298">
        <f t="shared" si="189"/>
        <v>3</v>
      </c>
      <c r="H1019" s="298">
        <f t="shared" si="190"/>
        <v>0</v>
      </c>
      <c r="I1019" s="298">
        <f t="shared" si="191"/>
        <v>2</v>
      </c>
      <c r="J1019" s="298">
        <f t="shared" si="192"/>
        <v>2</v>
      </c>
      <c r="K1019" s="299">
        <f t="shared" si="193"/>
        <v>370805</v>
      </c>
      <c r="R1019" s="497">
        <f t="shared" si="184"/>
        <v>370805</v>
      </c>
    </row>
    <row r="1020" spans="2:18">
      <c r="B1020" s="604">
        <f t="shared" si="185"/>
        <v>2916</v>
      </c>
      <c r="C1020" s="297">
        <f t="shared" si="183"/>
        <v>28</v>
      </c>
      <c r="D1020" s="297">
        <f t="shared" si="186"/>
        <v>5</v>
      </c>
      <c r="E1020" s="297">
        <f t="shared" si="187"/>
        <v>9</v>
      </c>
      <c r="F1020" s="298">
        <f t="shared" si="188"/>
        <v>0</v>
      </c>
      <c r="G1020" s="298">
        <f t="shared" si="189"/>
        <v>4</v>
      </c>
      <c r="H1020" s="298">
        <f t="shared" si="190"/>
        <v>19</v>
      </c>
      <c r="I1020" s="298">
        <f t="shared" si="191"/>
        <v>2</v>
      </c>
      <c r="J1020" s="298">
        <f t="shared" si="192"/>
        <v>21</v>
      </c>
      <c r="K1020" s="299">
        <f t="shared" si="193"/>
        <v>371190</v>
      </c>
      <c r="R1020" s="497">
        <f t="shared" si="184"/>
        <v>371190</v>
      </c>
    </row>
    <row r="1021" spans="2:18">
      <c r="B1021" s="604">
        <f t="shared" si="185"/>
        <v>2917</v>
      </c>
      <c r="C1021" s="297">
        <f t="shared" si="183"/>
        <v>28</v>
      </c>
      <c r="D1021" s="297">
        <f t="shared" si="186"/>
        <v>5</v>
      </c>
      <c r="E1021" s="297">
        <f t="shared" si="187"/>
        <v>10</v>
      </c>
      <c r="F1021" s="298">
        <f t="shared" si="188"/>
        <v>1</v>
      </c>
      <c r="G1021" s="298">
        <f t="shared" si="189"/>
        <v>5</v>
      </c>
      <c r="H1021" s="298">
        <f t="shared" si="190"/>
        <v>8</v>
      </c>
      <c r="I1021" s="298">
        <f t="shared" si="191"/>
        <v>5</v>
      </c>
      <c r="J1021" s="298">
        <f t="shared" si="192"/>
        <v>13</v>
      </c>
      <c r="K1021" s="299">
        <f t="shared" si="193"/>
        <v>371547</v>
      </c>
      <c r="R1021" s="497">
        <f t="shared" si="184"/>
        <v>371547</v>
      </c>
    </row>
    <row r="1022" spans="2:18">
      <c r="B1022" s="604">
        <f t="shared" si="185"/>
        <v>2918</v>
      </c>
      <c r="C1022" s="297">
        <f t="shared" si="183"/>
        <v>28</v>
      </c>
      <c r="D1022" s="297">
        <f t="shared" si="186"/>
        <v>5</v>
      </c>
      <c r="E1022" s="297">
        <f t="shared" si="187"/>
        <v>11</v>
      </c>
      <c r="F1022" s="298">
        <f t="shared" si="188"/>
        <v>2</v>
      </c>
      <c r="G1022" s="298">
        <f t="shared" si="189"/>
        <v>6</v>
      </c>
      <c r="H1022" s="298">
        <f t="shared" si="190"/>
        <v>27</v>
      </c>
      <c r="I1022" s="298">
        <f t="shared" si="191"/>
        <v>6</v>
      </c>
      <c r="J1022" s="298">
        <f t="shared" si="192"/>
        <v>33</v>
      </c>
      <c r="K1022" s="299">
        <f t="shared" si="193"/>
        <v>371932</v>
      </c>
      <c r="R1022" s="497">
        <f t="shared" si="184"/>
        <v>371932</v>
      </c>
    </row>
    <row r="1023" spans="2:18">
      <c r="B1023" s="604">
        <f t="shared" si="185"/>
        <v>2919</v>
      </c>
      <c r="C1023" s="297">
        <f t="shared" si="183"/>
        <v>28</v>
      </c>
      <c r="D1023" s="297">
        <f t="shared" si="186"/>
        <v>5</v>
      </c>
      <c r="E1023" s="297">
        <f t="shared" si="187"/>
        <v>12</v>
      </c>
      <c r="F1023" s="298">
        <f t="shared" si="188"/>
        <v>3</v>
      </c>
      <c r="G1023" s="298">
        <f t="shared" si="189"/>
        <v>0</v>
      </c>
      <c r="H1023" s="298">
        <f t="shared" si="190"/>
        <v>16</v>
      </c>
      <c r="I1023" s="298">
        <f t="shared" si="191"/>
        <v>2</v>
      </c>
      <c r="J1023" s="298">
        <f t="shared" si="192"/>
        <v>18</v>
      </c>
      <c r="K1023" s="299">
        <f t="shared" si="193"/>
        <v>372282</v>
      </c>
      <c r="R1023" s="497">
        <f t="shared" si="184"/>
        <v>372282</v>
      </c>
    </row>
    <row r="1024" spans="2:18">
      <c r="B1024" s="604">
        <f t="shared" si="185"/>
        <v>2920</v>
      </c>
      <c r="C1024" s="297">
        <f t="shared" si="183"/>
        <v>28</v>
      </c>
      <c r="D1024" s="297">
        <f t="shared" si="186"/>
        <v>5</v>
      </c>
      <c r="E1024" s="297">
        <f t="shared" si="187"/>
        <v>13</v>
      </c>
      <c r="F1024" s="298">
        <f t="shared" si="188"/>
        <v>0</v>
      </c>
      <c r="G1024" s="298">
        <f t="shared" si="189"/>
        <v>1</v>
      </c>
      <c r="H1024" s="298">
        <f t="shared" si="190"/>
        <v>5</v>
      </c>
      <c r="I1024" s="298">
        <f t="shared" si="191"/>
        <v>4</v>
      </c>
      <c r="J1024" s="298">
        <f t="shared" si="192"/>
        <v>9</v>
      </c>
      <c r="K1024" s="299">
        <f t="shared" si="193"/>
        <v>372639</v>
      </c>
      <c r="R1024" s="497">
        <f t="shared" si="184"/>
        <v>372639</v>
      </c>
    </row>
    <row r="1025" spans="2:18">
      <c r="B1025" s="604">
        <f t="shared" si="185"/>
        <v>2921</v>
      </c>
      <c r="C1025" s="297">
        <f t="shared" si="183"/>
        <v>28</v>
      </c>
      <c r="D1025" s="297">
        <f t="shared" si="186"/>
        <v>5</v>
      </c>
      <c r="E1025" s="297">
        <f t="shared" si="187"/>
        <v>14</v>
      </c>
      <c r="F1025" s="298">
        <f t="shared" si="188"/>
        <v>1</v>
      </c>
      <c r="G1025" s="298">
        <f t="shared" si="189"/>
        <v>2</v>
      </c>
      <c r="H1025" s="298">
        <f t="shared" si="190"/>
        <v>24</v>
      </c>
      <c r="I1025" s="298">
        <f t="shared" si="191"/>
        <v>5</v>
      </c>
      <c r="J1025" s="298">
        <f t="shared" si="192"/>
        <v>29</v>
      </c>
      <c r="K1025" s="299">
        <f t="shared" si="193"/>
        <v>373024</v>
      </c>
      <c r="R1025" s="497">
        <f t="shared" si="184"/>
        <v>373024</v>
      </c>
    </row>
    <row r="1026" spans="2:18">
      <c r="B1026" s="604">
        <f t="shared" si="185"/>
        <v>2922</v>
      </c>
      <c r="C1026" s="297">
        <f t="shared" si="183"/>
        <v>28</v>
      </c>
      <c r="D1026" s="297">
        <f t="shared" si="186"/>
        <v>5</v>
      </c>
      <c r="E1026" s="297">
        <f t="shared" si="187"/>
        <v>15</v>
      </c>
      <c r="F1026" s="298">
        <f t="shared" si="188"/>
        <v>2</v>
      </c>
      <c r="G1026" s="298">
        <f t="shared" si="189"/>
        <v>3</v>
      </c>
      <c r="H1026" s="298">
        <f t="shared" si="190"/>
        <v>13</v>
      </c>
      <c r="I1026" s="298">
        <f t="shared" si="191"/>
        <v>1</v>
      </c>
      <c r="J1026" s="298">
        <f t="shared" si="192"/>
        <v>14</v>
      </c>
      <c r="K1026" s="299">
        <f t="shared" si="193"/>
        <v>373374</v>
      </c>
      <c r="R1026" s="497">
        <f t="shared" si="184"/>
        <v>373374</v>
      </c>
    </row>
    <row r="1027" spans="2:18">
      <c r="B1027" s="604">
        <f t="shared" si="185"/>
        <v>2923</v>
      </c>
      <c r="C1027" s="297">
        <f t="shared" si="183"/>
        <v>28</v>
      </c>
      <c r="D1027" s="297">
        <f t="shared" si="186"/>
        <v>5</v>
      </c>
      <c r="E1027" s="297">
        <f t="shared" si="187"/>
        <v>16</v>
      </c>
      <c r="F1027" s="298">
        <f t="shared" si="188"/>
        <v>3</v>
      </c>
      <c r="G1027" s="298">
        <f t="shared" si="189"/>
        <v>4</v>
      </c>
      <c r="H1027" s="298">
        <f t="shared" si="190"/>
        <v>2</v>
      </c>
      <c r="I1027" s="298">
        <f t="shared" si="191"/>
        <v>4</v>
      </c>
      <c r="J1027" s="298">
        <f t="shared" si="192"/>
        <v>6</v>
      </c>
      <c r="K1027" s="299">
        <f t="shared" si="193"/>
        <v>373731</v>
      </c>
      <c r="R1027" s="497">
        <f t="shared" si="184"/>
        <v>373731</v>
      </c>
    </row>
    <row r="1028" spans="2:18">
      <c r="B1028" s="604">
        <f t="shared" si="185"/>
        <v>2924</v>
      </c>
      <c r="C1028" s="297">
        <f t="shared" si="183"/>
        <v>28</v>
      </c>
      <c r="D1028" s="297">
        <f t="shared" si="186"/>
        <v>5</v>
      </c>
      <c r="E1028" s="297">
        <f t="shared" si="187"/>
        <v>17</v>
      </c>
      <c r="F1028" s="298">
        <f t="shared" si="188"/>
        <v>0</v>
      </c>
      <c r="G1028" s="298">
        <f t="shared" si="189"/>
        <v>5</v>
      </c>
      <c r="H1028" s="298">
        <f t="shared" si="190"/>
        <v>21</v>
      </c>
      <c r="I1028" s="298">
        <f t="shared" si="191"/>
        <v>4</v>
      </c>
      <c r="J1028" s="298">
        <f t="shared" si="192"/>
        <v>25</v>
      </c>
      <c r="K1028" s="299">
        <f t="shared" si="193"/>
        <v>374116</v>
      </c>
      <c r="R1028" s="497">
        <f t="shared" si="184"/>
        <v>374116</v>
      </c>
    </row>
    <row r="1029" spans="2:18">
      <c r="B1029" s="604">
        <f t="shared" si="185"/>
        <v>2925</v>
      </c>
      <c r="C1029" s="297">
        <f t="shared" ref="C1029:C1092" si="194">VLOOKUP(B1029,$M$4:$P$86,3,TRUE)</f>
        <v>28</v>
      </c>
      <c r="D1029" s="297">
        <f t="shared" si="186"/>
        <v>5</v>
      </c>
      <c r="E1029" s="297">
        <f t="shared" si="187"/>
        <v>18</v>
      </c>
      <c r="F1029" s="298">
        <f t="shared" si="188"/>
        <v>1</v>
      </c>
      <c r="G1029" s="298">
        <f t="shared" si="189"/>
        <v>6</v>
      </c>
      <c r="H1029" s="298">
        <f t="shared" si="190"/>
        <v>10</v>
      </c>
      <c r="I1029" s="298">
        <f t="shared" si="191"/>
        <v>0</v>
      </c>
      <c r="J1029" s="298">
        <f t="shared" si="192"/>
        <v>10</v>
      </c>
      <c r="K1029" s="299">
        <f t="shared" si="193"/>
        <v>374466</v>
      </c>
      <c r="R1029" s="497">
        <f t="shared" ref="R1029:R1092" si="195">IF(MOD(19*MOD(B1029,19)+C1029,30)+MOD(2*MOD(B1029,4)+4*MOD(B1029,7)+6*MOD(19*MOD(B1029,19)+C1029,30)+D1029,7)-9&lt;=0,DATE(B1029,3,22+MOD(19*MOD(B1029,19)+C1029,30)+MOD(2*MOD(B1029,4)+4*MOD(B1029,7)+6*MOD(19*MOD(B1029,19)+C1029,30)+D1029,7)),DATE(B1029,4,MOD(19*MOD(B1029,19)+C1029,30)+MOD(2*MOD(B1029,4)+4*MOD(B1029,7)+6*MOD(19*MOD(B1029,19)+C1029,30)+D1029,7)-9))</f>
        <v>374466</v>
      </c>
    </row>
    <row r="1030" spans="2:18">
      <c r="B1030" s="604">
        <f t="shared" ref="B1030:B1093" si="196">B1029+1</f>
        <v>2926</v>
      </c>
      <c r="C1030" s="297">
        <f t="shared" si="194"/>
        <v>28</v>
      </c>
      <c r="D1030" s="297">
        <f t="shared" si="186"/>
        <v>5</v>
      </c>
      <c r="E1030" s="297">
        <f t="shared" si="187"/>
        <v>0</v>
      </c>
      <c r="F1030" s="298">
        <f t="shared" si="188"/>
        <v>2</v>
      </c>
      <c r="G1030" s="298">
        <f t="shared" si="189"/>
        <v>0</v>
      </c>
      <c r="H1030" s="298">
        <f t="shared" si="190"/>
        <v>28</v>
      </c>
      <c r="I1030" s="298">
        <f t="shared" si="191"/>
        <v>2</v>
      </c>
      <c r="J1030" s="298">
        <f t="shared" si="192"/>
        <v>30</v>
      </c>
      <c r="K1030" s="299">
        <f t="shared" si="193"/>
        <v>374851</v>
      </c>
      <c r="R1030" s="497">
        <f t="shared" si="195"/>
        <v>374851</v>
      </c>
    </row>
    <row r="1031" spans="2:18">
      <c r="B1031" s="604">
        <f t="shared" si="196"/>
        <v>2927</v>
      </c>
      <c r="C1031" s="297">
        <f t="shared" si="194"/>
        <v>28</v>
      </c>
      <c r="D1031" s="297">
        <f t="shared" si="186"/>
        <v>5</v>
      </c>
      <c r="E1031" s="297">
        <f t="shared" si="187"/>
        <v>1</v>
      </c>
      <c r="F1031" s="298">
        <f t="shared" si="188"/>
        <v>3</v>
      </c>
      <c r="G1031" s="298">
        <f t="shared" si="189"/>
        <v>1</v>
      </c>
      <c r="H1031" s="298">
        <f t="shared" si="190"/>
        <v>17</v>
      </c>
      <c r="I1031" s="298">
        <f t="shared" si="191"/>
        <v>5</v>
      </c>
      <c r="J1031" s="298">
        <f t="shared" si="192"/>
        <v>22</v>
      </c>
      <c r="K1031" s="299">
        <f t="shared" si="193"/>
        <v>375208</v>
      </c>
      <c r="R1031" s="497">
        <f t="shared" si="195"/>
        <v>375208</v>
      </c>
    </row>
    <row r="1032" spans="2:18">
      <c r="B1032" s="604">
        <f t="shared" si="196"/>
        <v>2928</v>
      </c>
      <c r="C1032" s="297">
        <f t="shared" si="194"/>
        <v>28</v>
      </c>
      <c r="D1032" s="297">
        <f t="shared" si="186"/>
        <v>5</v>
      </c>
      <c r="E1032" s="297">
        <f t="shared" si="187"/>
        <v>2</v>
      </c>
      <c r="F1032" s="298">
        <f t="shared" si="188"/>
        <v>0</v>
      </c>
      <c r="G1032" s="298">
        <f t="shared" si="189"/>
        <v>2</v>
      </c>
      <c r="H1032" s="298">
        <f t="shared" si="190"/>
        <v>6</v>
      </c>
      <c r="I1032" s="298">
        <f t="shared" si="191"/>
        <v>0</v>
      </c>
      <c r="J1032" s="298">
        <f t="shared" si="192"/>
        <v>6</v>
      </c>
      <c r="K1032" s="299">
        <f t="shared" si="193"/>
        <v>375558</v>
      </c>
      <c r="R1032" s="497">
        <f t="shared" si="195"/>
        <v>375558</v>
      </c>
    </row>
    <row r="1033" spans="2:18">
      <c r="B1033" s="604">
        <f t="shared" si="196"/>
        <v>2929</v>
      </c>
      <c r="C1033" s="297">
        <f t="shared" si="194"/>
        <v>28</v>
      </c>
      <c r="D1033" s="297">
        <f t="shared" si="186"/>
        <v>5</v>
      </c>
      <c r="E1033" s="297">
        <f t="shared" si="187"/>
        <v>3</v>
      </c>
      <c r="F1033" s="298">
        <f t="shared" si="188"/>
        <v>1</v>
      </c>
      <c r="G1033" s="298">
        <f t="shared" si="189"/>
        <v>3</v>
      </c>
      <c r="H1033" s="298">
        <f t="shared" si="190"/>
        <v>25</v>
      </c>
      <c r="I1033" s="298">
        <f t="shared" si="191"/>
        <v>1</v>
      </c>
      <c r="J1033" s="298">
        <f t="shared" si="192"/>
        <v>26</v>
      </c>
      <c r="K1033" s="299">
        <f t="shared" si="193"/>
        <v>375943</v>
      </c>
      <c r="R1033" s="497">
        <f t="shared" si="195"/>
        <v>375943</v>
      </c>
    </row>
    <row r="1034" spans="2:18">
      <c r="B1034" s="604">
        <f t="shared" si="196"/>
        <v>2930</v>
      </c>
      <c r="C1034" s="297">
        <f t="shared" si="194"/>
        <v>28</v>
      </c>
      <c r="D1034" s="297">
        <f t="shared" ref="D1034:D1097" si="197">VLOOKUP(B1034,$M$4:$P$86,4,TRUE)</f>
        <v>5</v>
      </c>
      <c r="E1034" s="297">
        <f t="shared" ref="E1034:E1097" si="198">MOD(B1034,19)</f>
        <v>4</v>
      </c>
      <c r="F1034" s="298">
        <f t="shared" ref="F1034:F1097" si="199">MOD(B1034,4)</f>
        <v>2</v>
      </c>
      <c r="G1034" s="298">
        <f t="shared" ref="G1034:G1097" si="200">MOD(B1034,7)</f>
        <v>4</v>
      </c>
      <c r="H1034" s="298">
        <f t="shared" ref="H1034:H1097" si="201">MOD(19*E1034+C1034,30)</f>
        <v>14</v>
      </c>
      <c r="I1034" s="298">
        <f t="shared" ref="I1034:I1097" si="202">MOD(2*F1034+4*G1034+6*H1034+D1034,7)</f>
        <v>4</v>
      </c>
      <c r="J1034" s="298">
        <f t="shared" ref="J1034:J1097" si="203">H1034+I1034</f>
        <v>18</v>
      </c>
      <c r="K1034" s="299">
        <f t="shared" ref="K1034:K1097" si="204">IF(J1034&lt;10,DATE(B1034,3,J1034+22),IF(J1034-9=26,DATE(B1034,4,19),IF(AND(J1034-9=25,H1034=28,I1034=6,E1034&gt;10),DATE(B1034,4,18),DATE(B1034,4,J1034-9))))</f>
        <v>376300</v>
      </c>
      <c r="R1034" s="497">
        <f t="shared" si="195"/>
        <v>376300</v>
      </c>
    </row>
    <row r="1035" spans="2:18">
      <c r="B1035" s="604">
        <f t="shared" si="196"/>
        <v>2931</v>
      </c>
      <c r="C1035" s="297">
        <f t="shared" si="194"/>
        <v>28</v>
      </c>
      <c r="D1035" s="297">
        <f t="shared" si="197"/>
        <v>5</v>
      </c>
      <c r="E1035" s="297">
        <f t="shared" si="198"/>
        <v>5</v>
      </c>
      <c r="F1035" s="298">
        <f t="shared" si="199"/>
        <v>3</v>
      </c>
      <c r="G1035" s="298">
        <f t="shared" si="200"/>
        <v>5</v>
      </c>
      <c r="H1035" s="298">
        <f t="shared" si="201"/>
        <v>3</v>
      </c>
      <c r="I1035" s="298">
        <f t="shared" si="202"/>
        <v>0</v>
      </c>
      <c r="J1035" s="298">
        <f t="shared" si="203"/>
        <v>3</v>
      </c>
      <c r="K1035" s="299">
        <f t="shared" si="204"/>
        <v>376650</v>
      </c>
      <c r="R1035" s="497">
        <f t="shared" si="195"/>
        <v>376650</v>
      </c>
    </row>
    <row r="1036" spans="2:18">
      <c r="B1036" s="604">
        <f t="shared" si="196"/>
        <v>2932</v>
      </c>
      <c r="C1036" s="297">
        <f t="shared" si="194"/>
        <v>28</v>
      </c>
      <c r="D1036" s="297">
        <f t="shared" si="197"/>
        <v>5</v>
      </c>
      <c r="E1036" s="297">
        <f t="shared" si="198"/>
        <v>6</v>
      </c>
      <c r="F1036" s="298">
        <f t="shared" si="199"/>
        <v>0</v>
      </c>
      <c r="G1036" s="298">
        <f t="shared" si="200"/>
        <v>6</v>
      </c>
      <c r="H1036" s="298">
        <f t="shared" si="201"/>
        <v>22</v>
      </c>
      <c r="I1036" s="298">
        <f t="shared" si="202"/>
        <v>0</v>
      </c>
      <c r="J1036" s="298">
        <f t="shared" si="203"/>
        <v>22</v>
      </c>
      <c r="K1036" s="299">
        <f t="shared" si="204"/>
        <v>377035</v>
      </c>
      <c r="R1036" s="497">
        <f t="shared" si="195"/>
        <v>377035</v>
      </c>
    </row>
    <row r="1037" spans="2:18">
      <c r="B1037" s="604">
        <f t="shared" si="196"/>
        <v>2933</v>
      </c>
      <c r="C1037" s="297">
        <f t="shared" si="194"/>
        <v>28</v>
      </c>
      <c r="D1037" s="297">
        <f t="shared" si="197"/>
        <v>5</v>
      </c>
      <c r="E1037" s="297">
        <f t="shared" si="198"/>
        <v>7</v>
      </c>
      <c r="F1037" s="298">
        <f t="shared" si="199"/>
        <v>1</v>
      </c>
      <c r="G1037" s="298">
        <f t="shared" si="200"/>
        <v>0</v>
      </c>
      <c r="H1037" s="298">
        <f t="shared" si="201"/>
        <v>11</v>
      </c>
      <c r="I1037" s="298">
        <f t="shared" si="202"/>
        <v>3</v>
      </c>
      <c r="J1037" s="298">
        <f t="shared" si="203"/>
        <v>14</v>
      </c>
      <c r="K1037" s="299">
        <f t="shared" si="204"/>
        <v>377392</v>
      </c>
      <c r="R1037" s="497">
        <f t="shared" si="195"/>
        <v>377392</v>
      </c>
    </row>
    <row r="1038" spans="2:18">
      <c r="B1038" s="604">
        <f t="shared" si="196"/>
        <v>2934</v>
      </c>
      <c r="C1038" s="297">
        <f t="shared" si="194"/>
        <v>28</v>
      </c>
      <c r="D1038" s="297">
        <f t="shared" si="197"/>
        <v>5</v>
      </c>
      <c r="E1038" s="297">
        <f t="shared" si="198"/>
        <v>8</v>
      </c>
      <c r="F1038" s="298">
        <f t="shared" si="199"/>
        <v>2</v>
      </c>
      <c r="G1038" s="298">
        <f t="shared" si="200"/>
        <v>1</v>
      </c>
      <c r="H1038" s="298">
        <f t="shared" si="201"/>
        <v>0</v>
      </c>
      <c r="I1038" s="298">
        <f t="shared" si="202"/>
        <v>6</v>
      </c>
      <c r="J1038" s="298">
        <f t="shared" si="203"/>
        <v>6</v>
      </c>
      <c r="K1038" s="299">
        <f t="shared" si="204"/>
        <v>377749</v>
      </c>
      <c r="R1038" s="497">
        <f t="shared" si="195"/>
        <v>377749</v>
      </c>
    </row>
    <row r="1039" spans="2:18">
      <c r="B1039" s="604">
        <f t="shared" si="196"/>
        <v>2935</v>
      </c>
      <c r="C1039" s="297">
        <f t="shared" si="194"/>
        <v>28</v>
      </c>
      <c r="D1039" s="297">
        <f t="shared" si="197"/>
        <v>5</v>
      </c>
      <c r="E1039" s="297">
        <f t="shared" si="198"/>
        <v>9</v>
      </c>
      <c r="F1039" s="298">
        <f t="shared" si="199"/>
        <v>3</v>
      </c>
      <c r="G1039" s="298">
        <f t="shared" si="200"/>
        <v>2</v>
      </c>
      <c r="H1039" s="298">
        <f t="shared" si="201"/>
        <v>19</v>
      </c>
      <c r="I1039" s="298">
        <f t="shared" si="202"/>
        <v>0</v>
      </c>
      <c r="J1039" s="298">
        <f t="shared" si="203"/>
        <v>19</v>
      </c>
      <c r="K1039" s="299">
        <f t="shared" si="204"/>
        <v>378127</v>
      </c>
      <c r="R1039" s="497">
        <f t="shared" si="195"/>
        <v>378127</v>
      </c>
    </row>
    <row r="1040" spans="2:18">
      <c r="B1040" s="604">
        <f t="shared" si="196"/>
        <v>2936</v>
      </c>
      <c r="C1040" s="297">
        <f t="shared" si="194"/>
        <v>28</v>
      </c>
      <c r="D1040" s="297">
        <f t="shared" si="197"/>
        <v>5</v>
      </c>
      <c r="E1040" s="297">
        <f t="shared" si="198"/>
        <v>10</v>
      </c>
      <c r="F1040" s="298">
        <f t="shared" si="199"/>
        <v>0</v>
      </c>
      <c r="G1040" s="298">
        <f t="shared" si="200"/>
        <v>3</v>
      </c>
      <c r="H1040" s="298">
        <f t="shared" si="201"/>
        <v>8</v>
      </c>
      <c r="I1040" s="298">
        <f t="shared" si="202"/>
        <v>2</v>
      </c>
      <c r="J1040" s="298">
        <f t="shared" si="203"/>
        <v>10</v>
      </c>
      <c r="K1040" s="299">
        <f t="shared" si="204"/>
        <v>378484</v>
      </c>
      <c r="R1040" s="497">
        <f t="shared" si="195"/>
        <v>378484</v>
      </c>
    </row>
    <row r="1041" spans="2:18">
      <c r="B1041" s="604">
        <f t="shared" si="196"/>
        <v>2937</v>
      </c>
      <c r="C1041" s="297">
        <f t="shared" si="194"/>
        <v>28</v>
      </c>
      <c r="D1041" s="297">
        <f t="shared" si="197"/>
        <v>5</v>
      </c>
      <c r="E1041" s="297">
        <f t="shared" si="198"/>
        <v>11</v>
      </c>
      <c r="F1041" s="298">
        <f t="shared" si="199"/>
        <v>1</v>
      </c>
      <c r="G1041" s="298">
        <f t="shared" si="200"/>
        <v>4</v>
      </c>
      <c r="H1041" s="298">
        <f t="shared" si="201"/>
        <v>27</v>
      </c>
      <c r="I1041" s="298">
        <f t="shared" si="202"/>
        <v>3</v>
      </c>
      <c r="J1041" s="298">
        <f t="shared" si="203"/>
        <v>30</v>
      </c>
      <c r="K1041" s="299">
        <f t="shared" si="204"/>
        <v>378869</v>
      </c>
      <c r="R1041" s="497">
        <f t="shared" si="195"/>
        <v>378869</v>
      </c>
    </row>
    <row r="1042" spans="2:18">
      <c r="B1042" s="604">
        <f t="shared" si="196"/>
        <v>2938</v>
      </c>
      <c r="C1042" s="297">
        <f t="shared" si="194"/>
        <v>28</v>
      </c>
      <c r="D1042" s="297">
        <f t="shared" si="197"/>
        <v>5</v>
      </c>
      <c r="E1042" s="297">
        <f t="shared" si="198"/>
        <v>12</v>
      </c>
      <c r="F1042" s="298">
        <f t="shared" si="199"/>
        <v>2</v>
      </c>
      <c r="G1042" s="298">
        <f t="shared" si="200"/>
        <v>5</v>
      </c>
      <c r="H1042" s="298">
        <f t="shared" si="201"/>
        <v>16</v>
      </c>
      <c r="I1042" s="298">
        <f t="shared" si="202"/>
        <v>6</v>
      </c>
      <c r="J1042" s="298">
        <f t="shared" si="203"/>
        <v>22</v>
      </c>
      <c r="K1042" s="299">
        <f t="shared" si="204"/>
        <v>379226</v>
      </c>
      <c r="R1042" s="497">
        <f t="shared" si="195"/>
        <v>379226</v>
      </c>
    </row>
    <row r="1043" spans="2:18">
      <c r="B1043" s="604">
        <f t="shared" si="196"/>
        <v>2939</v>
      </c>
      <c r="C1043" s="297">
        <f t="shared" si="194"/>
        <v>28</v>
      </c>
      <c r="D1043" s="297">
        <f t="shared" si="197"/>
        <v>5</v>
      </c>
      <c r="E1043" s="297">
        <f t="shared" si="198"/>
        <v>13</v>
      </c>
      <c r="F1043" s="298">
        <f t="shared" si="199"/>
        <v>3</v>
      </c>
      <c r="G1043" s="298">
        <f t="shared" si="200"/>
        <v>6</v>
      </c>
      <c r="H1043" s="298">
        <f t="shared" si="201"/>
        <v>5</v>
      </c>
      <c r="I1043" s="298">
        <f t="shared" si="202"/>
        <v>2</v>
      </c>
      <c r="J1043" s="298">
        <f t="shared" si="203"/>
        <v>7</v>
      </c>
      <c r="K1043" s="299">
        <f t="shared" si="204"/>
        <v>379576</v>
      </c>
      <c r="R1043" s="497">
        <f t="shared" si="195"/>
        <v>379576</v>
      </c>
    </row>
    <row r="1044" spans="2:18">
      <c r="B1044" s="604">
        <f t="shared" si="196"/>
        <v>2940</v>
      </c>
      <c r="C1044" s="297">
        <f t="shared" si="194"/>
        <v>28</v>
      </c>
      <c r="D1044" s="297">
        <f t="shared" si="197"/>
        <v>5</v>
      </c>
      <c r="E1044" s="297">
        <f t="shared" si="198"/>
        <v>14</v>
      </c>
      <c r="F1044" s="298">
        <f t="shared" si="199"/>
        <v>0</v>
      </c>
      <c r="G1044" s="298">
        <f t="shared" si="200"/>
        <v>0</v>
      </c>
      <c r="H1044" s="298">
        <f t="shared" si="201"/>
        <v>24</v>
      </c>
      <c r="I1044" s="298">
        <f t="shared" si="202"/>
        <v>2</v>
      </c>
      <c r="J1044" s="298">
        <f t="shared" si="203"/>
        <v>26</v>
      </c>
      <c r="K1044" s="299">
        <f t="shared" si="204"/>
        <v>379961</v>
      </c>
      <c r="R1044" s="497">
        <f t="shared" si="195"/>
        <v>379961</v>
      </c>
    </row>
    <row r="1045" spans="2:18">
      <c r="B1045" s="604">
        <f t="shared" si="196"/>
        <v>2941</v>
      </c>
      <c r="C1045" s="297">
        <f t="shared" si="194"/>
        <v>28</v>
      </c>
      <c r="D1045" s="297">
        <f t="shared" si="197"/>
        <v>5</v>
      </c>
      <c r="E1045" s="297">
        <f t="shared" si="198"/>
        <v>15</v>
      </c>
      <c r="F1045" s="298">
        <f t="shared" si="199"/>
        <v>1</v>
      </c>
      <c r="G1045" s="298">
        <f t="shared" si="200"/>
        <v>1</v>
      </c>
      <c r="H1045" s="298">
        <f t="shared" si="201"/>
        <v>13</v>
      </c>
      <c r="I1045" s="298">
        <f t="shared" si="202"/>
        <v>5</v>
      </c>
      <c r="J1045" s="298">
        <f t="shared" si="203"/>
        <v>18</v>
      </c>
      <c r="K1045" s="299">
        <f t="shared" si="204"/>
        <v>380318</v>
      </c>
      <c r="R1045" s="497">
        <f t="shared" si="195"/>
        <v>380318</v>
      </c>
    </row>
    <row r="1046" spans="2:18">
      <c r="B1046" s="604">
        <f t="shared" si="196"/>
        <v>2942</v>
      </c>
      <c r="C1046" s="297">
        <f t="shared" si="194"/>
        <v>28</v>
      </c>
      <c r="D1046" s="297">
        <f t="shared" si="197"/>
        <v>5</v>
      </c>
      <c r="E1046" s="297">
        <f t="shared" si="198"/>
        <v>16</v>
      </c>
      <c r="F1046" s="298">
        <f t="shared" si="199"/>
        <v>2</v>
      </c>
      <c r="G1046" s="298">
        <f t="shared" si="200"/>
        <v>2</v>
      </c>
      <c r="H1046" s="298">
        <f t="shared" si="201"/>
        <v>2</v>
      </c>
      <c r="I1046" s="298">
        <f t="shared" si="202"/>
        <v>1</v>
      </c>
      <c r="J1046" s="298">
        <f t="shared" si="203"/>
        <v>3</v>
      </c>
      <c r="K1046" s="299">
        <f t="shared" si="204"/>
        <v>380668</v>
      </c>
      <c r="R1046" s="497">
        <f t="shared" si="195"/>
        <v>380668</v>
      </c>
    </row>
    <row r="1047" spans="2:18">
      <c r="B1047" s="604">
        <f t="shared" si="196"/>
        <v>2943</v>
      </c>
      <c r="C1047" s="297">
        <f t="shared" si="194"/>
        <v>28</v>
      </c>
      <c r="D1047" s="297">
        <f t="shared" si="197"/>
        <v>5</v>
      </c>
      <c r="E1047" s="297">
        <f t="shared" si="198"/>
        <v>17</v>
      </c>
      <c r="F1047" s="298">
        <f t="shared" si="199"/>
        <v>3</v>
      </c>
      <c r="G1047" s="298">
        <f t="shared" si="200"/>
        <v>3</v>
      </c>
      <c r="H1047" s="298">
        <f t="shared" si="201"/>
        <v>21</v>
      </c>
      <c r="I1047" s="298">
        <f t="shared" si="202"/>
        <v>2</v>
      </c>
      <c r="J1047" s="298">
        <f t="shared" si="203"/>
        <v>23</v>
      </c>
      <c r="K1047" s="299">
        <f t="shared" si="204"/>
        <v>381053</v>
      </c>
      <c r="R1047" s="497">
        <f t="shared" si="195"/>
        <v>381053</v>
      </c>
    </row>
    <row r="1048" spans="2:18">
      <c r="B1048" s="604">
        <f t="shared" si="196"/>
        <v>2944</v>
      </c>
      <c r="C1048" s="297">
        <f t="shared" si="194"/>
        <v>28</v>
      </c>
      <c r="D1048" s="297">
        <f t="shared" si="197"/>
        <v>5</v>
      </c>
      <c r="E1048" s="297">
        <f t="shared" si="198"/>
        <v>18</v>
      </c>
      <c r="F1048" s="298">
        <f t="shared" si="199"/>
        <v>0</v>
      </c>
      <c r="G1048" s="298">
        <f t="shared" si="200"/>
        <v>4</v>
      </c>
      <c r="H1048" s="298">
        <f t="shared" si="201"/>
        <v>10</v>
      </c>
      <c r="I1048" s="298">
        <f t="shared" si="202"/>
        <v>4</v>
      </c>
      <c r="J1048" s="298">
        <f t="shared" si="203"/>
        <v>14</v>
      </c>
      <c r="K1048" s="299">
        <f t="shared" si="204"/>
        <v>381410</v>
      </c>
      <c r="R1048" s="497">
        <f t="shared" si="195"/>
        <v>381410</v>
      </c>
    </row>
    <row r="1049" spans="2:18">
      <c r="B1049" s="604">
        <f t="shared" si="196"/>
        <v>2945</v>
      </c>
      <c r="C1049" s="297">
        <f t="shared" si="194"/>
        <v>28</v>
      </c>
      <c r="D1049" s="297">
        <f t="shared" si="197"/>
        <v>5</v>
      </c>
      <c r="E1049" s="297">
        <f t="shared" si="198"/>
        <v>0</v>
      </c>
      <c r="F1049" s="298">
        <f t="shared" si="199"/>
        <v>1</v>
      </c>
      <c r="G1049" s="298">
        <f t="shared" si="200"/>
        <v>5</v>
      </c>
      <c r="H1049" s="298">
        <f t="shared" si="201"/>
        <v>28</v>
      </c>
      <c r="I1049" s="298">
        <f t="shared" si="202"/>
        <v>6</v>
      </c>
      <c r="J1049" s="298">
        <f t="shared" si="203"/>
        <v>34</v>
      </c>
      <c r="K1049" s="299">
        <f t="shared" si="204"/>
        <v>381795</v>
      </c>
      <c r="R1049" s="497">
        <f t="shared" si="195"/>
        <v>381795</v>
      </c>
    </row>
    <row r="1050" spans="2:18">
      <c r="B1050" s="604">
        <f t="shared" si="196"/>
        <v>2946</v>
      </c>
      <c r="C1050" s="297">
        <f t="shared" si="194"/>
        <v>28</v>
      </c>
      <c r="D1050" s="297">
        <f t="shared" si="197"/>
        <v>5</v>
      </c>
      <c r="E1050" s="297">
        <f t="shared" si="198"/>
        <v>1</v>
      </c>
      <c r="F1050" s="298">
        <f t="shared" si="199"/>
        <v>2</v>
      </c>
      <c r="G1050" s="298">
        <f t="shared" si="200"/>
        <v>6</v>
      </c>
      <c r="H1050" s="298">
        <f t="shared" si="201"/>
        <v>17</v>
      </c>
      <c r="I1050" s="298">
        <f t="shared" si="202"/>
        <v>2</v>
      </c>
      <c r="J1050" s="298">
        <f t="shared" si="203"/>
        <v>19</v>
      </c>
      <c r="K1050" s="299">
        <f t="shared" si="204"/>
        <v>382145</v>
      </c>
      <c r="R1050" s="497">
        <f t="shared" si="195"/>
        <v>382145</v>
      </c>
    </row>
    <row r="1051" spans="2:18">
      <c r="B1051" s="604">
        <f t="shared" si="196"/>
        <v>2947</v>
      </c>
      <c r="C1051" s="297">
        <f t="shared" si="194"/>
        <v>28</v>
      </c>
      <c r="D1051" s="297">
        <f t="shared" si="197"/>
        <v>5</v>
      </c>
      <c r="E1051" s="297">
        <f t="shared" si="198"/>
        <v>2</v>
      </c>
      <c r="F1051" s="298">
        <f t="shared" si="199"/>
        <v>3</v>
      </c>
      <c r="G1051" s="298">
        <f t="shared" si="200"/>
        <v>0</v>
      </c>
      <c r="H1051" s="298">
        <f t="shared" si="201"/>
        <v>6</v>
      </c>
      <c r="I1051" s="298">
        <f t="shared" si="202"/>
        <v>5</v>
      </c>
      <c r="J1051" s="298">
        <f t="shared" si="203"/>
        <v>11</v>
      </c>
      <c r="K1051" s="299">
        <f t="shared" si="204"/>
        <v>382502</v>
      </c>
      <c r="R1051" s="497">
        <f t="shared" si="195"/>
        <v>382502</v>
      </c>
    </row>
    <row r="1052" spans="2:18">
      <c r="B1052" s="604">
        <f t="shared" si="196"/>
        <v>2948</v>
      </c>
      <c r="C1052" s="297">
        <f t="shared" si="194"/>
        <v>28</v>
      </c>
      <c r="D1052" s="297">
        <f t="shared" si="197"/>
        <v>5</v>
      </c>
      <c r="E1052" s="297">
        <f t="shared" si="198"/>
        <v>3</v>
      </c>
      <c r="F1052" s="298">
        <f t="shared" si="199"/>
        <v>0</v>
      </c>
      <c r="G1052" s="298">
        <f t="shared" si="200"/>
        <v>1</v>
      </c>
      <c r="H1052" s="298">
        <f t="shared" si="201"/>
        <v>25</v>
      </c>
      <c r="I1052" s="298">
        <f t="shared" si="202"/>
        <v>5</v>
      </c>
      <c r="J1052" s="298">
        <f t="shared" si="203"/>
        <v>30</v>
      </c>
      <c r="K1052" s="299">
        <f t="shared" si="204"/>
        <v>382887</v>
      </c>
      <c r="R1052" s="497">
        <f t="shared" si="195"/>
        <v>382887</v>
      </c>
    </row>
    <row r="1053" spans="2:18">
      <c r="B1053" s="604">
        <f t="shared" si="196"/>
        <v>2949</v>
      </c>
      <c r="C1053" s="297">
        <f t="shared" si="194"/>
        <v>28</v>
      </c>
      <c r="D1053" s="297">
        <f t="shared" si="197"/>
        <v>5</v>
      </c>
      <c r="E1053" s="297">
        <f t="shared" si="198"/>
        <v>4</v>
      </c>
      <c r="F1053" s="298">
        <f t="shared" si="199"/>
        <v>1</v>
      </c>
      <c r="G1053" s="298">
        <f t="shared" si="200"/>
        <v>2</v>
      </c>
      <c r="H1053" s="298">
        <f t="shared" si="201"/>
        <v>14</v>
      </c>
      <c r="I1053" s="298">
        <f t="shared" si="202"/>
        <v>1</v>
      </c>
      <c r="J1053" s="298">
        <f t="shared" si="203"/>
        <v>15</v>
      </c>
      <c r="K1053" s="299">
        <f t="shared" si="204"/>
        <v>383237</v>
      </c>
      <c r="R1053" s="497">
        <f t="shared" si="195"/>
        <v>383237</v>
      </c>
    </row>
    <row r="1054" spans="2:18">
      <c r="B1054" s="604">
        <f t="shared" si="196"/>
        <v>2950</v>
      </c>
      <c r="C1054" s="297">
        <f t="shared" si="194"/>
        <v>28</v>
      </c>
      <c r="D1054" s="297">
        <f t="shared" si="197"/>
        <v>5</v>
      </c>
      <c r="E1054" s="297">
        <f t="shared" si="198"/>
        <v>5</v>
      </c>
      <c r="F1054" s="298">
        <f t="shared" si="199"/>
        <v>2</v>
      </c>
      <c r="G1054" s="298">
        <f t="shared" si="200"/>
        <v>3</v>
      </c>
      <c r="H1054" s="298">
        <f t="shared" si="201"/>
        <v>3</v>
      </c>
      <c r="I1054" s="298">
        <f t="shared" si="202"/>
        <v>4</v>
      </c>
      <c r="J1054" s="298">
        <f t="shared" si="203"/>
        <v>7</v>
      </c>
      <c r="K1054" s="299">
        <f t="shared" si="204"/>
        <v>383594</v>
      </c>
      <c r="R1054" s="497">
        <f t="shared" si="195"/>
        <v>383594</v>
      </c>
    </row>
    <row r="1055" spans="2:18">
      <c r="B1055" s="604">
        <f t="shared" si="196"/>
        <v>2951</v>
      </c>
      <c r="C1055" s="297">
        <f t="shared" si="194"/>
        <v>28</v>
      </c>
      <c r="D1055" s="297">
        <f t="shared" si="197"/>
        <v>5</v>
      </c>
      <c r="E1055" s="297">
        <f t="shared" si="198"/>
        <v>6</v>
      </c>
      <c r="F1055" s="298">
        <f t="shared" si="199"/>
        <v>3</v>
      </c>
      <c r="G1055" s="298">
        <f t="shared" si="200"/>
        <v>4</v>
      </c>
      <c r="H1055" s="298">
        <f t="shared" si="201"/>
        <v>22</v>
      </c>
      <c r="I1055" s="298">
        <f t="shared" si="202"/>
        <v>5</v>
      </c>
      <c r="J1055" s="298">
        <f t="shared" si="203"/>
        <v>27</v>
      </c>
      <c r="K1055" s="299">
        <f t="shared" si="204"/>
        <v>383979</v>
      </c>
      <c r="R1055" s="497">
        <f t="shared" si="195"/>
        <v>383979</v>
      </c>
    </row>
    <row r="1056" spans="2:18">
      <c r="B1056" s="604">
        <f t="shared" si="196"/>
        <v>2952</v>
      </c>
      <c r="C1056" s="297">
        <f t="shared" si="194"/>
        <v>28</v>
      </c>
      <c r="D1056" s="297">
        <f t="shared" si="197"/>
        <v>5</v>
      </c>
      <c r="E1056" s="297">
        <f t="shared" si="198"/>
        <v>7</v>
      </c>
      <c r="F1056" s="298">
        <f t="shared" si="199"/>
        <v>0</v>
      </c>
      <c r="G1056" s="298">
        <f t="shared" si="200"/>
        <v>5</v>
      </c>
      <c r="H1056" s="298">
        <f t="shared" si="201"/>
        <v>11</v>
      </c>
      <c r="I1056" s="298">
        <f t="shared" si="202"/>
        <v>0</v>
      </c>
      <c r="J1056" s="298">
        <f t="shared" si="203"/>
        <v>11</v>
      </c>
      <c r="K1056" s="299">
        <f t="shared" si="204"/>
        <v>384329</v>
      </c>
      <c r="R1056" s="497">
        <f t="shared" si="195"/>
        <v>384329</v>
      </c>
    </row>
    <row r="1057" spans="2:18">
      <c r="B1057" s="604">
        <f t="shared" si="196"/>
        <v>2953</v>
      </c>
      <c r="C1057" s="297">
        <f t="shared" si="194"/>
        <v>28</v>
      </c>
      <c r="D1057" s="297">
        <f t="shared" si="197"/>
        <v>5</v>
      </c>
      <c r="E1057" s="297">
        <f t="shared" si="198"/>
        <v>8</v>
      </c>
      <c r="F1057" s="298">
        <f t="shared" si="199"/>
        <v>1</v>
      </c>
      <c r="G1057" s="298">
        <f t="shared" si="200"/>
        <v>6</v>
      </c>
      <c r="H1057" s="298">
        <f t="shared" si="201"/>
        <v>0</v>
      </c>
      <c r="I1057" s="298">
        <f t="shared" si="202"/>
        <v>3</v>
      </c>
      <c r="J1057" s="298">
        <f t="shared" si="203"/>
        <v>3</v>
      </c>
      <c r="K1057" s="299">
        <f t="shared" si="204"/>
        <v>384686</v>
      </c>
      <c r="R1057" s="497">
        <f t="shared" si="195"/>
        <v>384686</v>
      </c>
    </row>
    <row r="1058" spans="2:18">
      <c r="B1058" s="604">
        <f t="shared" si="196"/>
        <v>2954</v>
      </c>
      <c r="C1058" s="297">
        <f t="shared" si="194"/>
        <v>28</v>
      </c>
      <c r="D1058" s="297">
        <f t="shared" si="197"/>
        <v>5</v>
      </c>
      <c r="E1058" s="297">
        <f t="shared" si="198"/>
        <v>9</v>
      </c>
      <c r="F1058" s="298">
        <f t="shared" si="199"/>
        <v>2</v>
      </c>
      <c r="G1058" s="298">
        <f t="shared" si="200"/>
        <v>0</v>
      </c>
      <c r="H1058" s="298">
        <f t="shared" si="201"/>
        <v>19</v>
      </c>
      <c r="I1058" s="298">
        <f t="shared" si="202"/>
        <v>4</v>
      </c>
      <c r="J1058" s="298">
        <f t="shared" si="203"/>
        <v>23</v>
      </c>
      <c r="K1058" s="299">
        <f t="shared" si="204"/>
        <v>385071</v>
      </c>
      <c r="R1058" s="497">
        <f t="shared" si="195"/>
        <v>385071</v>
      </c>
    </row>
    <row r="1059" spans="2:18">
      <c r="B1059" s="604">
        <f t="shared" si="196"/>
        <v>2955</v>
      </c>
      <c r="C1059" s="297">
        <f t="shared" si="194"/>
        <v>28</v>
      </c>
      <c r="D1059" s="297">
        <f t="shared" si="197"/>
        <v>5</v>
      </c>
      <c r="E1059" s="297">
        <f t="shared" si="198"/>
        <v>10</v>
      </c>
      <c r="F1059" s="298">
        <f t="shared" si="199"/>
        <v>3</v>
      </c>
      <c r="G1059" s="298">
        <f t="shared" si="200"/>
        <v>1</v>
      </c>
      <c r="H1059" s="298">
        <f t="shared" si="201"/>
        <v>8</v>
      </c>
      <c r="I1059" s="298">
        <f t="shared" si="202"/>
        <v>0</v>
      </c>
      <c r="J1059" s="298">
        <f t="shared" si="203"/>
        <v>8</v>
      </c>
      <c r="K1059" s="299">
        <f t="shared" si="204"/>
        <v>385421</v>
      </c>
      <c r="R1059" s="497">
        <f t="shared" si="195"/>
        <v>385421</v>
      </c>
    </row>
    <row r="1060" spans="2:18">
      <c r="B1060" s="604">
        <f t="shared" si="196"/>
        <v>2956</v>
      </c>
      <c r="C1060" s="297">
        <f t="shared" si="194"/>
        <v>28</v>
      </c>
      <c r="D1060" s="297">
        <f t="shared" si="197"/>
        <v>5</v>
      </c>
      <c r="E1060" s="297">
        <f t="shared" si="198"/>
        <v>11</v>
      </c>
      <c r="F1060" s="298">
        <f t="shared" si="199"/>
        <v>0</v>
      </c>
      <c r="G1060" s="298">
        <f t="shared" si="200"/>
        <v>2</v>
      </c>
      <c r="H1060" s="298">
        <f t="shared" si="201"/>
        <v>27</v>
      </c>
      <c r="I1060" s="298">
        <f t="shared" si="202"/>
        <v>0</v>
      </c>
      <c r="J1060" s="298">
        <f t="shared" si="203"/>
        <v>27</v>
      </c>
      <c r="K1060" s="299">
        <f t="shared" si="204"/>
        <v>385806</v>
      </c>
      <c r="R1060" s="497">
        <f t="shared" si="195"/>
        <v>385806</v>
      </c>
    </row>
    <row r="1061" spans="2:18">
      <c r="B1061" s="604">
        <f t="shared" si="196"/>
        <v>2957</v>
      </c>
      <c r="C1061" s="297">
        <f t="shared" si="194"/>
        <v>28</v>
      </c>
      <c r="D1061" s="297">
        <f t="shared" si="197"/>
        <v>5</v>
      </c>
      <c r="E1061" s="297">
        <f t="shared" si="198"/>
        <v>12</v>
      </c>
      <c r="F1061" s="298">
        <f t="shared" si="199"/>
        <v>1</v>
      </c>
      <c r="G1061" s="298">
        <f t="shared" si="200"/>
        <v>3</v>
      </c>
      <c r="H1061" s="298">
        <f t="shared" si="201"/>
        <v>16</v>
      </c>
      <c r="I1061" s="298">
        <f t="shared" si="202"/>
        <v>3</v>
      </c>
      <c r="J1061" s="298">
        <f t="shared" si="203"/>
        <v>19</v>
      </c>
      <c r="K1061" s="299">
        <f t="shared" si="204"/>
        <v>386163</v>
      </c>
      <c r="R1061" s="497">
        <f t="shared" si="195"/>
        <v>386163</v>
      </c>
    </row>
    <row r="1062" spans="2:18">
      <c r="B1062" s="604">
        <f t="shared" si="196"/>
        <v>2958</v>
      </c>
      <c r="C1062" s="297">
        <f t="shared" si="194"/>
        <v>28</v>
      </c>
      <c r="D1062" s="297">
        <f t="shared" si="197"/>
        <v>5</v>
      </c>
      <c r="E1062" s="297">
        <f t="shared" si="198"/>
        <v>13</v>
      </c>
      <c r="F1062" s="298">
        <f t="shared" si="199"/>
        <v>2</v>
      </c>
      <c r="G1062" s="298">
        <f t="shared" si="200"/>
        <v>4</v>
      </c>
      <c r="H1062" s="298">
        <f t="shared" si="201"/>
        <v>5</v>
      </c>
      <c r="I1062" s="298">
        <f t="shared" si="202"/>
        <v>6</v>
      </c>
      <c r="J1062" s="298">
        <f t="shared" si="203"/>
        <v>11</v>
      </c>
      <c r="K1062" s="299">
        <f t="shared" si="204"/>
        <v>386520</v>
      </c>
      <c r="R1062" s="497">
        <f t="shared" si="195"/>
        <v>386520</v>
      </c>
    </row>
    <row r="1063" spans="2:18">
      <c r="B1063" s="604">
        <f t="shared" si="196"/>
        <v>2959</v>
      </c>
      <c r="C1063" s="297">
        <f t="shared" si="194"/>
        <v>28</v>
      </c>
      <c r="D1063" s="297">
        <f t="shared" si="197"/>
        <v>5</v>
      </c>
      <c r="E1063" s="297">
        <f t="shared" si="198"/>
        <v>14</v>
      </c>
      <c r="F1063" s="298">
        <f t="shared" si="199"/>
        <v>3</v>
      </c>
      <c r="G1063" s="298">
        <f t="shared" si="200"/>
        <v>5</v>
      </c>
      <c r="H1063" s="298">
        <f t="shared" si="201"/>
        <v>24</v>
      </c>
      <c r="I1063" s="298">
        <f t="shared" si="202"/>
        <v>0</v>
      </c>
      <c r="J1063" s="298">
        <f t="shared" si="203"/>
        <v>24</v>
      </c>
      <c r="K1063" s="299">
        <f t="shared" si="204"/>
        <v>386898</v>
      </c>
      <c r="R1063" s="497">
        <f t="shared" si="195"/>
        <v>386898</v>
      </c>
    </row>
    <row r="1064" spans="2:18">
      <c r="B1064" s="604">
        <f t="shared" si="196"/>
        <v>2960</v>
      </c>
      <c r="C1064" s="297">
        <f t="shared" si="194"/>
        <v>28</v>
      </c>
      <c r="D1064" s="297">
        <f t="shared" si="197"/>
        <v>5</v>
      </c>
      <c r="E1064" s="297">
        <f t="shared" si="198"/>
        <v>15</v>
      </c>
      <c r="F1064" s="298">
        <f t="shared" si="199"/>
        <v>0</v>
      </c>
      <c r="G1064" s="298">
        <f t="shared" si="200"/>
        <v>6</v>
      </c>
      <c r="H1064" s="298">
        <f t="shared" si="201"/>
        <v>13</v>
      </c>
      <c r="I1064" s="298">
        <f t="shared" si="202"/>
        <v>2</v>
      </c>
      <c r="J1064" s="298">
        <f t="shared" si="203"/>
        <v>15</v>
      </c>
      <c r="K1064" s="299">
        <f t="shared" si="204"/>
        <v>387255</v>
      </c>
      <c r="R1064" s="497">
        <f t="shared" si="195"/>
        <v>387255</v>
      </c>
    </row>
    <row r="1065" spans="2:18">
      <c r="B1065" s="604">
        <f t="shared" si="196"/>
        <v>2961</v>
      </c>
      <c r="C1065" s="297">
        <f t="shared" si="194"/>
        <v>28</v>
      </c>
      <c r="D1065" s="297">
        <f t="shared" si="197"/>
        <v>5</v>
      </c>
      <c r="E1065" s="297">
        <f t="shared" si="198"/>
        <v>16</v>
      </c>
      <c r="F1065" s="298">
        <f t="shared" si="199"/>
        <v>1</v>
      </c>
      <c r="G1065" s="298">
        <f t="shared" si="200"/>
        <v>0</v>
      </c>
      <c r="H1065" s="298">
        <f t="shared" si="201"/>
        <v>2</v>
      </c>
      <c r="I1065" s="298">
        <f t="shared" si="202"/>
        <v>5</v>
      </c>
      <c r="J1065" s="298">
        <f t="shared" si="203"/>
        <v>7</v>
      </c>
      <c r="K1065" s="299">
        <f t="shared" si="204"/>
        <v>387612</v>
      </c>
      <c r="R1065" s="497">
        <f t="shared" si="195"/>
        <v>387612</v>
      </c>
    </row>
    <row r="1066" spans="2:18">
      <c r="B1066" s="604">
        <f t="shared" si="196"/>
        <v>2962</v>
      </c>
      <c r="C1066" s="297">
        <f t="shared" si="194"/>
        <v>28</v>
      </c>
      <c r="D1066" s="297">
        <f t="shared" si="197"/>
        <v>5</v>
      </c>
      <c r="E1066" s="297">
        <f t="shared" si="198"/>
        <v>17</v>
      </c>
      <c r="F1066" s="298">
        <f t="shared" si="199"/>
        <v>2</v>
      </c>
      <c r="G1066" s="298">
        <f t="shared" si="200"/>
        <v>1</v>
      </c>
      <c r="H1066" s="298">
        <f t="shared" si="201"/>
        <v>21</v>
      </c>
      <c r="I1066" s="298">
        <f t="shared" si="202"/>
        <v>6</v>
      </c>
      <c r="J1066" s="298">
        <f t="shared" si="203"/>
        <v>27</v>
      </c>
      <c r="K1066" s="299">
        <f t="shared" si="204"/>
        <v>387997</v>
      </c>
      <c r="R1066" s="497">
        <f t="shared" si="195"/>
        <v>387997</v>
      </c>
    </row>
    <row r="1067" spans="2:18">
      <c r="B1067" s="604">
        <f t="shared" si="196"/>
        <v>2963</v>
      </c>
      <c r="C1067" s="297">
        <f t="shared" si="194"/>
        <v>28</v>
      </c>
      <c r="D1067" s="297">
        <f t="shared" si="197"/>
        <v>5</v>
      </c>
      <c r="E1067" s="297">
        <f t="shared" si="198"/>
        <v>18</v>
      </c>
      <c r="F1067" s="298">
        <f t="shared" si="199"/>
        <v>3</v>
      </c>
      <c r="G1067" s="298">
        <f t="shared" si="200"/>
        <v>2</v>
      </c>
      <c r="H1067" s="298">
        <f t="shared" si="201"/>
        <v>10</v>
      </c>
      <c r="I1067" s="298">
        <f t="shared" si="202"/>
        <v>2</v>
      </c>
      <c r="J1067" s="298">
        <f t="shared" si="203"/>
        <v>12</v>
      </c>
      <c r="K1067" s="299">
        <f t="shared" si="204"/>
        <v>388347</v>
      </c>
      <c r="R1067" s="497">
        <f t="shared" si="195"/>
        <v>388347</v>
      </c>
    </row>
    <row r="1068" spans="2:18">
      <c r="B1068" s="604">
        <f t="shared" si="196"/>
        <v>2964</v>
      </c>
      <c r="C1068" s="297">
        <f t="shared" si="194"/>
        <v>28</v>
      </c>
      <c r="D1068" s="297">
        <f t="shared" si="197"/>
        <v>5</v>
      </c>
      <c r="E1068" s="297">
        <f t="shared" si="198"/>
        <v>0</v>
      </c>
      <c r="F1068" s="298">
        <f t="shared" si="199"/>
        <v>0</v>
      </c>
      <c r="G1068" s="298">
        <f t="shared" si="200"/>
        <v>3</v>
      </c>
      <c r="H1068" s="298">
        <f t="shared" si="201"/>
        <v>28</v>
      </c>
      <c r="I1068" s="298">
        <f t="shared" si="202"/>
        <v>3</v>
      </c>
      <c r="J1068" s="298">
        <f t="shared" si="203"/>
        <v>31</v>
      </c>
      <c r="K1068" s="299">
        <f t="shared" si="204"/>
        <v>388732</v>
      </c>
      <c r="R1068" s="497">
        <f t="shared" si="195"/>
        <v>388732</v>
      </c>
    </row>
    <row r="1069" spans="2:18">
      <c r="B1069" s="604">
        <f t="shared" si="196"/>
        <v>2965</v>
      </c>
      <c r="C1069" s="297">
        <f t="shared" si="194"/>
        <v>28</v>
      </c>
      <c r="D1069" s="297">
        <f t="shared" si="197"/>
        <v>5</v>
      </c>
      <c r="E1069" s="297">
        <f t="shared" si="198"/>
        <v>1</v>
      </c>
      <c r="F1069" s="298">
        <f t="shared" si="199"/>
        <v>1</v>
      </c>
      <c r="G1069" s="298">
        <f t="shared" si="200"/>
        <v>4</v>
      </c>
      <c r="H1069" s="298">
        <f t="shared" si="201"/>
        <v>17</v>
      </c>
      <c r="I1069" s="298">
        <f t="shared" si="202"/>
        <v>6</v>
      </c>
      <c r="J1069" s="298">
        <f t="shared" si="203"/>
        <v>23</v>
      </c>
      <c r="K1069" s="299">
        <f t="shared" si="204"/>
        <v>389089</v>
      </c>
      <c r="R1069" s="497">
        <f t="shared" si="195"/>
        <v>389089</v>
      </c>
    </row>
    <row r="1070" spans="2:18">
      <c r="B1070" s="604">
        <f t="shared" si="196"/>
        <v>2966</v>
      </c>
      <c r="C1070" s="297">
        <f t="shared" si="194"/>
        <v>28</v>
      </c>
      <c r="D1070" s="297">
        <f t="shared" si="197"/>
        <v>5</v>
      </c>
      <c r="E1070" s="297">
        <f t="shared" si="198"/>
        <v>2</v>
      </c>
      <c r="F1070" s="298">
        <f t="shared" si="199"/>
        <v>2</v>
      </c>
      <c r="G1070" s="298">
        <f t="shared" si="200"/>
        <v>5</v>
      </c>
      <c r="H1070" s="298">
        <f t="shared" si="201"/>
        <v>6</v>
      </c>
      <c r="I1070" s="298">
        <f t="shared" si="202"/>
        <v>2</v>
      </c>
      <c r="J1070" s="298">
        <f t="shared" si="203"/>
        <v>8</v>
      </c>
      <c r="K1070" s="299">
        <f t="shared" si="204"/>
        <v>389439</v>
      </c>
      <c r="R1070" s="497">
        <f t="shared" si="195"/>
        <v>389439</v>
      </c>
    </row>
    <row r="1071" spans="2:18">
      <c r="B1071" s="604">
        <f t="shared" si="196"/>
        <v>2967</v>
      </c>
      <c r="C1071" s="297">
        <f t="shared" si="194"/>
        <v>28</v>
      </c>
      <c r="D1071" s="297">
        <f t="shared" si="197"/>
        <v>5</v>
      </c>
      <c r="E1071" s="297">
        <f t="shared" si="198"/>
        <v>3</v>
      </c>
      <c r="F1071" s="298">
        <f t="shared" si="199"/>
        <v>3</v>
      </c>
      <c r="G1071" s="298">
        <f t="shared" si="200"/>
        <v>6</v>
      </c>
      <c r="H1071" s="298">
        <f t="shared" si="201"/>
        <v>25</v>
      </c>
      <c r="I1071" s="298">
        <f t="shared" si="202"/>
        <v>3</v>
      </c>
      <c r="J1071" s="298">
        <f t="shared" si="203"/>
        <v>28</v>
      </c>
      <c r="K1071" s="299">
        <f t="shared" si="204"/>
        <v>389824</v>
      </c>
      <c r="R1071" s="497">
        <f t="shared" si="195"/>
        <v>389824</v>
      </c>
    </row>
    <row r="1072" spans="2:18">
      <c r="B1072" s="604">
        <f t="shared" si="196"/>
        <v>2968</v>
      </c>
      <c r="C1072" s="297">
        <f t="shared" si="194"/>
        <v>28</v>
      </c>
      <c r="D1072" s="297">
        <f t="shared" si="197"/>
        <v>5</v>
      </c>
      <c r="E1072" s="297">
        <f t="shared" si="198"/>
        <v>4</v>
      </c>
      <c r="F1072" s="298">
        <f t="shared" si="199"/>
        <v>0</v>
      </c>
      <c r="G1072" s="298">
        <f t="shared" si="200"/>
        <v>0</v>
      </c>
      <c r="H1072" s="298">
        <f t="shared" si="201"/>
        <v>14</v>
      </c>
      <c r="I1072" s="298">
        <f t="shared" si="202"/>
        <v>5</v>
      </c>
      <c r="J1072" s="298">
        <f t="shared" si="203"/>
        <v>19</v>
      </c>
      <c r="K1072" s="299">
        <f t="shared" si="204"/>
        <v>390181</v>
      </c>
      <c r="R1072" s="497">
        <f t="shared" si="195"/>
        <v>390181</v>
      </c>
    </row>
    <row r="1073" spans="2:18">
      <c r="B1073" s="604">
        <f t="shared" si="196"/>
        <v>2969</v>
      </c>
      <c r="C1073" s="297">
        <f t="shared" si="194"/>
        <v>28</v>
      </c>
      <c r="D1073" s="297">
        <f t="shared" si="197"/>
        <v>5</v>
      </c>
      <c r="E1073" s="297">
        <f t="shared" si="198"/>
        <v>5</v>
      </c>
      <c r="F1073" s="298">
        <f t="shared" si="199"/>
        <v>1</v>
      </c>
      <c r="G1073" s="298">
        <f t="shared" si="200"/>
        <v>1</v>
      </c>
      <c r="H1073" s="298">
        <f t="shared" si="201"/>
        <v>3</v>
      </c>
      <c r="I1073" s="298">
        <f t="shared" si="202"/>
        <v>1</v>
      </c>
      <c r="J1073" s="298">
        <f t="shared" si="203"/>
        <v>4</v>
      </c>
      <c r="K1073" s="299">
        <f t="shared" si="204"/>
        <v>390531</v>
      </c>
      <c r="R1073" s="497">
        <f t="shared" si="195"/>
        <v>390531</v>
      </c>
    </row>
    <row r="1074" spans="2:18">
      <c r="B1074" s="604">
        <f t="shared" si="196"/>
        <v>2970</v>
      </c>
      <c r="C1074" s="297">
        <f t="shared" si="194"/>
        <v>28</v>
      </c>
      <c r="D1074" s="297">
        <f t="shared" si="197"/>
        <v>5</v>
      </c>
      <c r="E1074" s="297">
        <f t="shared" si="198"/>
        <v>6</v>
      </c>
      <c r="F1074" s="298">
        <f t="shared" si="199"/>
        <v>2</v>
      </c>
      <c r="G1074" s="298">
        <f t="shared" si="200"/>
        <v>2</v>
      </c>
      <c r="H1074" s="298">
        <f t="shared" si="201"/>
        <v>22</v>
      </c>
      <c r="I1074" s="298">
        <f t="shared" si="202"/>
        <v>2</v>
      </c>
      <c r="J1074" s="298">
        <f t="shared" si="203"/>
        <v>24</v>
      </c>
      <c r="K1074" s="299">
        <f t="shared" si="204"/>
        <v>390916</v>
      </c>
      <c r="R1074" s="497">
        <f t="shared" si="195"/>
        <v>390916</v>
      </c>
    </row>
    <row r="1075" spans="2:18">
      <c r="B1075" s="604">
        <f t="shared" si="196"/>
        <v>2971</v>
      </c>
      <c r="C1075" s="297">
        <f t="shared" si="194"/>
        <v>28</v>
      </c>
      <c r="D1075" s="297">
        <f t="shared" si="197"/>
        <v>5</v>
      </c>
      <c r="E1075" s="297">
        <f t="shared" si="198"/>
        <v>7</v>
      </c>
      <c r="F1075" s="298">
        <f t="shared" si="199"/>
        <v>3</v>
      </c>
      <c r="G1075" s="298">
        <f t="shared" si="200"/>
        <v>3</v>
      </c>
      <c r="H1075" s="298">
        <f t="shared" si="201"/>
        <v>11</v>
      </c>
      <c r="I1075" s="298">
        <f t="shared" si="202"/>
        <v>5</v>
      </c>
      <c r="J1075" s="298">
        <f t="shared" si="203"/>
        <v>16</v>
      </c>
      <c r="K1075" s="299">
        <f t="shared" si="204"/>
        <v>391273</v>
      </c>
      <c r="R1075" s="497">
        <f t="shared" si="195"/>
        <v>391273</v>
      </c>
    </row>
    <row r="1076" spans="2:18">
      <c r="B1076" s="604">
        <f t="shared" si="196"/>
        <v>2972</v>
      </c>
      <c r="C1076" s="297">
        <f t="shared" si="194"/>
        <v>28</v>
      </c>
      <c r="D1076" s="297">
        <f t="shared" si="197"/>
        <v>5</v>
      </c>
      <c r="E1076" s="297">
        <f t="shared" si="198"/>
        <v>8</v>
      </c>
      <c r="F1076" s="298">
        <f t="shared" si="199"/>
        <v>0</v>
      </c>
      <c r="G1076" s="298">
        <f t="shared" si="200"/>
        <v>4</v>
      </c>
      <c r="H1076" s="298">
        <f t="shared" si="201"/>
        <v>0</v>
      </c>
      <c r="I1076" s="298">
        <f t="shared" si="202"/>
        <v>0</v>
      </c>
      <c r="J1076" s="298">
        <f t="shared" si="203"/>
        <v>0</v>
      </c>
      <c r="K1076" s="299">
        <f t="shared" si="204"/>
        <v>391623</v>
      </c>
      <c r="R1076" s="497">
        <f t="shared" si="195"/>
        <v>391623</v>
      </c>
    </row>
    <row r="1077" spans="2:18">
      <c r="B1077" s="604">
        <f t="shared" si="196"/>
        <v>2973</v>
      </c>
      <c r="C1077" s="297">
        <f t="shared" si="194"/>
        <v>28</v>
      </c>
      <c r="D1077" s="297">
        <f t="shared" si="197"/>
        <v>5</v>
      </c>
      <c r="E1077" s="297">
        <f t="shared" si="198"/>
        <v>9</v>
      </c>
      <c r="F1077" s="298">
        <f t="shared" si="199"/>
        <v>1</v>
      </c>
      <c r="G1077" s="298">
        <f t="shared" si="200"/>
        <v>5</v>
      </c>
      <c r="H1077" s="298">
        <f t="shared" si="201"/>
        <v>19</v>
      </c>
      <c r="I1077" s="298">
        <f t="shared" si="202"/>
        <v>1</v>
      </c>
      <c r="J1077" s="298">
        <f t="shared" si="203"/>
        <v>20</v>
      </c>
      <c r="K1077" s="299">
        <f t="shared" si="204"/>
        <v>392008</v>
      </c>
      <c r="R1077" s="497">
        <f t="shared" si="195"/>
        <v>392008</v>
      </c>
    </row>
    <row r="1078" spans="2:18">
      <c r="B1078" s="604">
        <f t="shared" si="196"/>
        <v>2974</v>
      </c>
      <c r="C1078" s="297">
        <f t="shared" si="194"/>
        <v>28</v>
      </c>
      <c r="D1078" s="297">
        <f t="shared" si="197"/>
        <v>5</v>
      </c>
      <c r="E1078" s="297">
        <f t="shared" si="198"/>
        <v>10</v>
      </c>
      <c r="F1078" s="298">
        <f t="shared" si="199"/>
        <v>2</v>
      </c>
      <c r="G1078" s="298">
        <f t="shared" si="200"/>
        <v>6</v>
      </c>
      <c r="H1078" s="298">
        <f t="shared" si="201"/>
        <v>8</v>
      </c>
      <c r="I1078" s="298">
        <f t="shared" si="202"/>
        <v>4</v>
      </c>
      <c r="J1078" s="298">
        <f t="shared" si="203"/>
        <v>12</v>
      </c>
      <c r="K1078" s="299">
        <f t="shared" si="204"/>
        <v>392365</v>
      </c>
      <c r="R1078" s="497">
        <f t="shared" si="195"/>
        <v>392365</v>
      </c>
    </row>
    <row r="1079" spans="2:18">
      <c r="B1079" s="604">
        <f t="shared" si="196"/>
        <v>2975</v>
      </c>
      <c r="C1079" s="297">
        <f t="shared" si="194"/>
        <v>28</v>
      </c>
      <c r="D1079" s="297">
        <f t="shared" si="197"/>
        <v>5</v>
      </c>
      <c r="E1079" s="297">
        <f t="shared" si="198"/>
        <v>11</v>
      </c>
      <c r="F1079" s="298">
        <f t="shared" si="199"/>
        <v>3</v>
      </c>
      <c r="G1079" s="298">
        <f t="shared" si="200"/>
        <v>0</v>
      </c>
      <c r="H1079" s="298">
        <f t="shared" si="201"/>
        <v>27</v>
      </c>
      <c r="I1079" s="298">
        <f t="shared" si="202"/>
        <v>5</v>
      </c>
      <c r="J1079" s="298">
        <f t="shared" si="203"/>
        <v>32</v>
      </c>
      <c r="K1079" s="299">
        <f t="shared" si="204"/>
        <v>392750</v>
      </c>
      <c r="R1079" s="497">
        <f t="shared" si="195"/>
        <v>392750</v>
      </c>
    </row>
    <row r="1080" spans="2:18">
      <c r="B1080" s="604">
        <f t="shared" si="196"/>
        <v>2976</v>
      </c>
      <c r="C1080" s="297">
        <f t="shared" si="194"/>
        <v>28</v>
      </c>
      <c r="D1080" s="297">
        <f t="shared" si="197"/>
        <v>5</v>
      </c>
      <c r="E1080" s="297">
        <f t="shared" si="198"/>
        <v>12</v>
      </c>
      <c r="F1080" s="298">
        <f t="shared" si="199"/>
        <v>0</v>
      </c>
      <c r="G1080" s="298">
        <f t="shared" si="200"/>
        <v>1</v>
      </c>
      <c r="H1080" s="298">
        <f t="shared" si="201"/>
        <v>16</v>
      </c>
      <c r="I1080" s="298">
        <f t="shared" si="202"/>
        <v>0</v>
      </c>
      <c r="J1080" s="298">
        <f t="shared" si="203"/>
        <v>16</v>
      </c>
      <c r="K1080" s="299">
        <f t="shared" si="204"/>
        <v>393100</v>
      </c>
      <c r="R1080" s="497">
        <f t="shared" si="195"/>
        <v>393100</v>
      </c>
    </row>
    <row r="1081" spans="2:18">
      <c r="B1081" s="604">
        <f t="shared" si="196"/>
        <v>2977</v>
      </c>
      <c r="C1081" s="297">
        <f t="shared" si="194"/>
        <v>28</v>
      </c>
      <c r="D1081" s="297">
        <f t="shared" si="197"/>
        <v>5</v>
      </c>
      <c r="E1081" s="297">
        <f t="shared" si="198"/>
        <v>13</v>
      </c>
      <c r="F1081" s="298">
        <f t="shared" si="199"/>
        <v>1</v>
      </c>
      <c r="G1081" s="298">
        <f t="shared" si="200"/>
        <v>2</v>
      </c>
      <c r="H1081" s="298">
        <f t="shared" si="201"/>
        <v>5</v>
      </c>
      <c r="I1081" s="298">
        <f t="shared" si="202"/>
        <v>3</v>
      </c>
      <c r="J1081" s="298">
        <f t="shared" si="203"/>
        <v>8</v>
      </c>
      <c r="K1081" s="299">
        <f t="shared" si="204"/>
        <v>393457</v>
      </c>
      <c r="R1081" s="497">
        <f t="shared" si="195"/>
        <v>393457</v>
      </c>
    </row>
    <row r="1082" spans="2:18">
      <c r="B1082" s="604">
        <f t="shared" si="196"/>
        <v>2978</v>
      </c>
      <c r="C1082" s="297">
        <f t="shared" si="194"/>
        <v>28</v>
      </c>
      <c r="D1082" s="297">
        <f t="shared" si="197"/>
        <v>5</v>
      </c>
      <c r="E1082" s="297">
        <f t="shared" si="198"/>
        <v>14</v>
      </c>
      <c r="F1082" s="298">
        <f t="shared" si="199"/>
        <v>2</v>
      </c>
      <c r="G1082" s="298">
        <f t="shared" si="200"/>
        <v>3</v>
      </c>
      <c r="H1082" s="298">
        <f t="shared" si="201"/>
        <v>24</v>
      </c>
      <c r="I1082" s="298">
        <f t="shared" si="202"/>
        <v>4</v>
      </c>
      <c r="J1082" s="298">
        <f t="shared" si="203"/>
        <v>28</v>
      </c>
      <c r="K1082" s="299">
        <f t="shared" si="204"/>
        <v>393842</v>
      </c>
      <c r="R1082" s="497">
        <f t="shared" si="195"/>
        <v>393842</v>
      </c>
    </row>
    <row r="1083" spans="2:18">
      <c r="B1083" s="604">
        <f t="shared" si="196"/>
        <v>2979</v>
      </c>
      <c r="C1083" s="297">
        <f t="shared" si="194"/>
        <v>28</v>
      </c>
      <c r="D1083" s="297">
        <f t="shared" si="197"/>
        <v>5</v>
      </c>
      <c r="E1083" s="297">
        <f t="shared" si="198"/>
        <v>15</v>
      </c>
      <c r="F1083" s="298">
        <f t="shared" si="199"/>
        <v>3</v>
      </c>
      <c r="G1083" s="298">
        <f t="shared" si="200"/>
        <v>4</v>
      </c>
      <c r="H1083" s="298">
        <f t="shared" si="201"/>
        <v>13</v>
      </c>
      <c r="I1083" s="298">
        <f t="shared" si="202"/>
        <v>0</v>
      </c>
      <c r="J1083" s="298">
        <f t="shared" si="203"/>
        <v>13</v>
      </c>
      <c r="K1083" s="299">
        <f t="shared" si="204"/>
        <v>394192</v>
      </c>
      <c r="R1083" s="497">
        <f t="shared" si="195"/>
        <v>394192</v>
      </c>
    </row>
    <row r="1084" spans="2:18">
      <c r="B1084" s="604">
        <f t="shared" si="196"/>
        <v>2980</v>
      </c>
      <c r="C1084" s="297">
        <f t="shared" si="194"/>
        <v>28</v>
      </c>
      <c r="D1084" s="297">
        <f t="shared" si="197"/>
        <v>5</v>
      </c>
      <c r="E1084" s="297">
        <f t="shared" si="198"/>
        <v>16</v>
      </c>
      <c r="F1084" s="298">
        <f t="shared" si="199"/>
        <v>0</v>
      </c>
      <c r="G1084" s="298">
        <f t="shared" si="200"/>
        <v>5</v>
      </c>
      <c r="H1084" s="298">
        <f t="shared" si="201"/>
        <v>2</v>
      </c>
      <c r="I1084" s="298">
        <f t="shared" si="202"/>
        <v>2</v>
      </c>
      <c r="J1084" s="298">
        <f t="shared" si="203"/>
        <v>4</v>
      </c>
      <c r="K1084" s="299">
        <f t="shared" si="204"/>
        <v>394549</v>
      </c>
      <c r="R1084" s="497">
        <f t="shared" si="195"/>
        <v>394549</v>
      </c>
    </row>
    <row r="1085" spans="2:18">
      <c r="B1085" s="604">
        <f t="shared" si="196"/>
        <v>2981</v>
      </c>
      <c r="C1085" s="297">
        <f t="shared" si="194"/>
        <v>28</v>
      </c>
      <c r="D1085" s="297">
        <f t="shared" si="197"/>
        <v>5</v>
      </c>
      <c r="E1085" s="297">
        <f t="shared" si="198"/>
        <v>17</v>
      </c>
      <c r="F1085" s="298">
        <f t="shared" si="199"/>
        <v>1</v>
      </c>
      <c r="G1085" s="298">
        <f t="shared" si="200"/>
        <v>6</v>
      </c>
      <c r="H1085" s="298">
        <f t="shared" si="201"/>
        <v>21</v>
      </c>
      <c r="I1085" s="298">
        <f t="shared" si="202"/>
        <v>3</v>
      </c>
      <c r="J1085" s="298">
        <f t="shared" si="203"/>
        <v>24</v>
      </c>
      <c r="K1085" s="299">
        <f t="shared" si="204"/>
        <v>394934</v>
      </c>
      <c r="R1085" s="497">
        <f t="shared" si="195"/>
        <v>394934</v>
      </c>
    </row>
    <row r="1086" spans="2:18">
      <c r="B1086" s="604">
        <f t="shared" si="196"/>
        <v>2982</v>
      </c>
      <c r="C1086" s="297">
        <f t="shared" si="194"/>
        <v>28</v>
      </c>
      <c r="D1086" s="297">
        <f t="shared" si="197"/>
        <v>5</v>
      </c>
      <c r="E1086" s="297">
        <f t="shared" si="198"/>
        <v>18</v>
      </c>
      <c r="F1086" s="298">
        <f t="shared" si="199"/>
        <v>2</v>
      </c>
      <c r="G1086" s="298">
        <f t="shared" si="200"/>
        <v>0</v>
      </c>
      <c r="H1086" s="298">
        <f t="shared" si="201"/>
        <v>10</v>
      </c>
      <c r="I1086" s="298">
        <f t="shared" si="202"/>
        <v>6</v>
      </c>
      <c r="J1086" s="298">
        <f t="shared" si="203"/>
        <v>16</v>
      </c>
      <c r="K1086" s="299">
        <f t="shared" si="204"/>
        <v>395291</v>
      </c>
      <c r="R1086" s="497">
        <f t="shared" si="195"/>
        <v>395291</v>
      </c>
    </row>
    <row r="1087" spans="2:18">
      <c r="B1087" s="604">
        <f t="shared" si="196"/>
        <v>2983</v>
      </c>
      <c r="C1087" s="297">
        <f t="shared" si="194"/>
        <v>28</v>
      </c>
      <c r="D1087" s="297">
        <f t="shared" si="197"/>
        <v>5</v>
      </c>
      <c r="E1087" s="297">
        <f t="shared" si="198"/>
        <v>0</v>
      </c>
      <c r="F1087" s="298">
        <f t="shared" si="199"/>
        <v>3</v>
      </c>
      <c r="G1087" s="298">
        <f t="shared" si="200"/>
        <v>1</v>
      </c>
      <c r="H1087" s="298">
        <f t="shared" si="201"/>
        <v>28</v>
      </c>
      <c r="I1087" s="298">
        <f t="shared" si="202"/>
        <v>1</v>
      </c>
      <c r="J1087" s="298">
        <f t="shared" si="203"/>
        <v>29</v>
      </c>
      <c r="K1087" s="299">
        <f t="shared" si="204"/>
        <v>395669</v>
      </c>
      <c r="R1087" s="497">
        <f t="shared" si="195"/>
        <v>395669</v>
      </c>
    </row>
    <row r="1088" spans="2:18">
      <c r="B1088" s="604">
        <f t="shared" si="196"/>
        <v>2984</v>
      </c>
      <c r="C1088" s="297">
        <f t="shared" si="194"/>
        <v>28</v>
      </c>
      <c r="D1088" s="297">
        <f t="shared" si="197"/>
        <v>5</v>
      </c>
      <c r="E1088" s="297">
        <f t="shared" si="198"/>
        <v>1</v>
      </c>
      <c r="F1088" s="298">
        <f t="shared" si="199"/>
        <v>0</v>
      </c>
      <c r="G1088" s="298">
        <f t="shared" si="200"/>
        <v>2</v>
      </c>
      <c r="H1088" s="298">
        <f t="shared" si="201"/>
        <v>17</v>
      </c>
      <c r="I1088" s="298">
        <f t="shared" si="202"/>
        <v>3</v>
      </c>
      <c r="J1088" s="298">
        <f t="shared" si="203"/>
        <v>20</v>
      </c>
      <c r="K1088" s="299">
        <f t="shared" si="204"/>
        <v>396026</v>
      </c>
      <c r="R1088" s="497">
        <f t="shared" si="195"/>
        <v>396026</v>
      </c>
    </row>
    <row r="1089" spans="2:18">
      <c r="B1089" s="604">
        <f t="shared" si="196"/>
        <v>2985</v>
      </c>
      <c r="C1089" s="297">
        <f t="shared" si="194"/>
        <v>28</v>
      </c>
      <c r="D1089" s="297">
        <f t="shared" si="197"/>
        <v>5</v>
      </c>
      <c r="E1089" s="297">
        <f t="shared" si="198"/>
        <v>2</v>
      </c>
      <c r="F1089" s="298">
        <f t="shared" si="199"/>
        <v>1</v>
      </c>
      <c r="G1089" s="298">
        <f t="shared" si="200"/>
        <v>3</v>
      </c>
      <c r="H1089" s="298">
        <f t="shared" si="201"/>
        <v>6</v>
      </c>
      <c r="I1089" s="298">
        <f t="shared" si="202"/>
        <v>6</v>
      </c>
      <c r="J1089" s="298">
        <f t="shared" si="203"/>
        <v>12</v>
      </c>
      <c r="K1089" s="299">
        <f t="shared" si="204"/>
        <v>396383</v>
      </c>
      <c r="R1089" s="497">
        <f t="shared" si="195"/>
        <v>396383</v>
      </c>
    </row>
    <row r="1090" spans="2:18">
      <c r="B1090" s="604">
        <f t="shared" si="196"/>
        <v>2986</v>
      </c>
      <c r="C1090" s="297">
        <f t="shared" si="194"/>
        <v>28</v>
      </c>
      <c r="D1090" s="297">
        <f t="shared" si="197"/>
        <v>5</v>
      </c>
      <c r="E1090" s="297">
        <f t="shared" si="198"/>
        <v>3</v>
      </c>
      <c r="F1090" s="298">
        <f t="shared" si="199"/>
        <v>2</v>
      </c>
      <c r="G1090" s="298">
        <f t="shared" si="200"/>
        <v>4</v>
      </c>
      <c r="H1090" s="298">
        <f t="shared" si="201"/>
        <v>25</v>
      </c>
      <c r="I1090" s="298">
        <f t="shared" si="202"/>
        <v>0</v>
      </c>
      <c r="J1090" s="298">
        <f t="shared" si="203"/>
        <v>25</v>
      </c>
      <c r="K1090" s="299">
        <f t="shared" si="204"/>
        <v>396761</v>
      </c>
      <c r="R1090" s="497">
        <f t="shared" si="195"/>
        <v>396761</v>
      </c>
    </row>
    <row r="1091" spans="2:18">
      <c r="B1091" s="604">
        <f t="shared" si="196"/>
        <v>2987</v>
      </c>
      <c r="C1091" s="297">
        <f t="shared" si="194"/>
        <v>28</v>
      </c>
      <c r="D1091" s="297">
        <f t="shared" si="197"/>
        <v>5</v>
      </c>
      <c r="E1091" s="297">
        <f t="shared" si="198"/>
        <v>4</v>
      </c>
      <c r="F1091" s="298">
        <f t="shared" si="199"/>
        <v>3</v>
      </c>
      <c r="G1091" s="298">
        <f t="shared" si="200"/>
        <v>5</v>
      </c>
      <c r="H1091" s="298">
        <f t="shared" si="201"/>
        <v>14</v>
      </c>
      <c r="I1091" s="298">
        <f t="shared" si="202"/>
        <v>3</v>
      </c>
      <c r="J1091" s="298">
        <f t="shared" si="203"/>
        <v>17</v>
      </c>
      <c r="K1091" s="299">
        <f t="shared" si="204"/>
        <v>397118</v>
      </c>
      <c r="R1091" s="497">
        <f t="shared" si="195"/>
        <v>397118</v>
      </c>
    </row>
    <row r="1092" spans="2:18">
      <c r="B1092" s="604">
        <f t="shared" si="196"/>
        <v>2988</v>
      </c>
      <c r="C1092" s="297">
        <f t="shared" si="194"/>
        <v>28</v>
      </c>
      <c r="D1092" s="297">
        <f t="shared" si="197"/>
        <v>5</v>
      </c>
      <c r="E1092" s="297">
        <f t="shared" si="198"/>
        <v>5</v>
      </c>
      <c r="F1092" s="298">
        <f t="shared" si="199"/>
        <v>0</v>
      </c>
      <c r="G1092" s="298">
        <f t="shared" si="200"/>
        <v>6</v>
      </c>
      <c r="H1092" s="298">
        <f t="shared" si="201"/>
        <v>3</v>
      </c>
      <c r="I1092" s="298">
        <f t="shared" si="202"/>
        <v>5</v>
      </c>
      <c r="J1092" s="298">
        <f t="shared" si="203"/>
        <v>8</v>
      </c>
      <c r="K1092" s="299">
        <f t="shared" si="204"/>
        <v>397475</v>
      </c>
      <c r="R1092" s="497">
        <f t="shared" si="195"/>
        <v>397475</v>
      </c>
    </row>
    <row r="1093" spans="2:18">
      <c r="B1093" s="604">
        <f t="shared" si="196"/>
        <v>2989</v>
      </c>
      <c r="C1093" s="297">
        <f t="shared" ref="C1093:C1104" si="205">VLOOKUP(B1093,$M$4:$P$86,3,TRUE)</f>
        <v>28</v>
      </c>
      <c r="D1093" s="297">
        <f t="shared" si="197"/>
        <v>5</v>
      </c>
      <c r="E1093" s="297">
        <f t="shared" si="198"/>
        <v>6</v>
      </c>
      <c r="F1093" s="298">
        <f t="shared" si="199"/>
        <v>1</v>
      </c>
      <c r="G1093" s="298">
        <f t="shared" si="200"/>
        <v>0</v>
      </c>
      <c r="H1093" s="298">
        <f t="shared" si="201"/>
        <v>22</v>
      </c>
      <c r="I1093" s="298">
        <f t="shared" si="202"/>
        <v>6</v>
      </c>
      <c r="J1093" s="298">
        <f t="shared" si="203"/>
        <v>28</v>
      </c>
      <c r="K1093" s="299">
        <f t="shared" si="204"/>
        <v>397860</v>
      </c>
      <c r="R1093" s="497">
        <f t="shared" ref="R1093:R1104" si="206">IF(MOD(19*MOD(B1093,19)+C1093,30)+MOD(2*MOD(B1093,4)+4*MOD(B1093,7)+6*MOD(19*MOD(B1093,19)+C1093,30)+D1093,7)-9&lt;=0,DATE(B1093,3,22+MOD(19*MOD(B1093,19)+C1093,30)+MOD(2*MOD(B1093,4)+4*MOD(B1093,7)+6*MOD(19*MOD(B1093,19)+C1093,30)+D1093,7)),DATE(B1093,4,MOD(19*MOD(B1093,19)+C1093,30)+MOD(2*MOD(B1093,4)+4*MOD(B1093,7)+6*MOD(19*MOD(B1093,19)+C1093,30)+D1093,7)-9))</f>
        <v>397860</v>
      </c>
    </row>
    <row r="1094" spans="2:18">
      <c r="B1094" s="604">
        <f t="shared" ref="B1094:B1104" si="207">B1093+1</f>
        <v>2990</v>
      </c>
      <c r="C1094" s="297">
        <f t="shared" si="205"/>
        <v>28</v>
      </c>
      <c r="D1094" s="297">
        <f t="shared" si="197"/>
        <v>5</v>
      </c>
      <c r="E1094" s="297">
        <f t="shared" si="198"/>
        <v>7</v>
      </c>
      <c r="F1094" s="298">
        <f t="shared" si="199"/>
        <v>2</v>
      </c>
      <c r="G1094" s="298">
        <f t="shared" si="200"/>
        <v>1</v>
      </c>
      <c r="H1094" s="298">
        <f t="shared" si="201"/>
        <v>11</v>
      </c>
      <c r="I1094" s="298">
        <f t="shared" si="202"/>
        <v>2</v>
      </c>
      <c r="J1094" s="298">
        <f t="shared" si="203"/>
        <v>13</v>
      </c>
      <c r="K1094" s="299">
        <f t="shared" si="204"/>
        <v>398210</v>
      </c>
      <c r="R1094" s="497">
        <f t="shared" si="206"/>
        <v>398210</v>
      </c>
    </row>
    <row r="1095" spans="2:18">
      <c r="B1095" s="604">
        <f t="shared" si="207"/>
        <v>2991</v>
      </c>
      <c r="C1095" s="297">
        <f t="shared" si="205"/>
        <v>28</v>
      </c>
      <c r="D1095" s="297">
        <f t="shared" si="197"/>
        <v>5</v>
      </c>
      <c r="E1095" s="297">
        <f t="shared" si="198"/>
        <v>8</v>
      </c>
      <c r="F1095" s="298">
        <f t="shared" si="199"/>
        <v>3</v>
      </c>
      <c r="G1095" s="298">
        <f t="shared" si="200"/>
        <v>2</v>
      </c>
      <c r="H1095" s="298">
        <f t="shared" si="201"/>
        <v>0</v>
      </c>
      <c r="I1095" s="298">
        <f t="shared" si="202"/>
        <v>5</v>
      </c>
      <c r="J1095" s="298">
        <f t="shared" si="203"/>
        <v>5</v>
      </c>
      <c r="K1095" s="299">
        <f t="shared" si="204"/>
        <v>398567</v>
      </c>
      <c r="R1095" s="497">
        <f t="shared" si="206"/>
        <v>398567</v>
      </c>
    </row>
    <row r="1096" spans="2:18">
      <c r="B1096" s="604">
        <f t="shared" si="207"/>
        <v>2992</v>
      </c>
      <c r="C1096" s="297">
        <f t="shared" si="205"/>
        <v>28</v>
      </c>
      <c r="D1096" s="297">
        <f t="shared" si="197"/>
        <v>5</v>
      </c>
      <c r="E1096" s="297">
        <f t="shared" si="198"/>
        <v>9</v>
      </c>
      <c r="F1096" s="298">
        <f t="shared" si="199"/>
        <v>0</v>
      </c>
      <c r="G1096" s="298">
        <f t="shared" si="200"/>
        <v>3</v>
      </c>
      <c r="H1096" s="298">
        <f t="shared" si="201"/>
        <v>19</v>
      </c>
      <c r="I1096" s="298">
        <f t="shared" si="202"/>
        <v>5</v>
      </c>
      <c r="J1096" s="298">
        <f t="shared" si="203"/>
        <v>24</v>
      </c>
      <c r="K1096" s="299">
        <f t="shared" si="204"/>
        <v>398952</v>
      </c>
      <c r="R1096" s="497">
        <f t="shared" si="206"/>
        <v>398952</v>
      </c>
    </row>
    <row r="1097" spans="2:18">
      <c r="B1097" s="604">
        <f t="shared" si="207"/>
        <v>2993</v>
      </c>
      <c r="C1097" s="297">
        <f t="shared" si="205"/>
        <v>28</v>
      </c>
      <c r="D1097" s="297">
        <f t="shared" si="197"/>
        <v>5</v>
      </c>
      <c r="E1097" s="297">
        <f t="shared" si="198"/>
        <v>10</v>
      </c>
      <c r="F1097" s="298">
        <f t="shared" si="199"/>
        <v>1</v>
      </c>
      <c r="G1097" s="298">
        <f t="shared" si="200"/>
        <v>4</v>
      </c>
      <c r="H1097" s="298">
        <f t="shared" si="201"/>
        <v>8</v>
      </c>
      <c r="I1097" s="298">
        <f t="shared" si="202"/>
        <v>1</v>
      </c>
      <c r="J1097" s="298">
        <f t="shared" si="203"/>
        <v>9</v>
      </c>
      <c r="K1097" s="299">
        <f t="shared" si="204"/>
        <v>399302</v>
      </c>
      <c r="R1097" s="497">
        <f t="shared" si="206"/>
        <v>399302</v>
      </c>
    </row>
    <row r="1098" spans="2:18">
      <c r="B1098" s="604">
        <f t="shared" si="207"/>
        <v>2994</v>
      </c>
      <c r="C1098" s="297">
        <f t="shared" si="205"/>
        <v>28</v>
      </c>
      <c r="D1098" s="297">
        <f t="shared" ref="D1098:D1104" si="208">VLOOKUP(B1098,$M$4:$P$86,4,TRUE)</f>
        <v>5</v>
      </c>
      <c r="E1098" s="297">
        <f t="shared" ref="E1098:E1104" si="209">MOD(B1098,19)</f>
        <v>11</v>
      </c>
      <c r="F1098" s="298">
        <f t="shared" ref="F1098:F1104" si="210">MOD(B1098,4)</f>
        <v>2</v>
      </c>
      <c r="G1098" s="298">
        <f t="shared" ref="G1098:G1104" si="211">MOD(B1098,7)</f>
        <v>5</v>
      </c>
      <c r="H1098" s="298">
        <f t="shared" ref="H1098:H1104" si="212">MOD(19*E1098+C1098,30)</f>
        <v>27</v>
      </c>
      <c r="I1098" s="298">
        <f t="shared" ref="I1098:I1104" si="213">MOD(2*F1098+4*G1098+6*H1098+D1098,7)</f>
        <v>2</v>
      </c>
      <c r="J1098" s="298">
        <f t="shared" ref="J1098:J1104" si="214">H1098+I1098</f>
        <v>29</v>
      </c>
      <c r="K1098" s="299">
        <f t="shared" ref="K1098:K1104" si="215">IF(J1098&lt;10,DATE(B1098,3,J1098+22),IF(J1098-9=26,DATE(B1098,4,19),IF(AND(J1098-9=25,H1098=28,I1098=6,E1098&gt;10),DATE(B1098,4,18),DATE(B1098,4,J1098-9))))</f>
        <v>399687</v>
      </c>
      <c r="R1098" s="497">
        <f t="shared" si="206"/>
        <v>399687</v>
      </c>
    </row>
    <row r="1099" spans="2:18">
      <c r="B1099" s="604">
        <f t="shared" si="207"/>
        <v>2995</v>
      </c>
      <c r="C1099" s="297">
        <f t="shared" si="205"/>
        <v>28</v>
      </c>
      <c r="D1099" s="297">
        <f t="shared" si="208"/>
        <v>5</v>
      </c>
      <c r="E1099" s="297">
        <f t="shared" si="209"/>
        <v>12</v>
      </c>
      <c r="F1099" s="298">
        <f t="shared" si="210"/>
        <v>3</v>
      </c>
      <c r="G1099" s="298">
        <f t="shared" si="211"/>
        <v>6</v>
      </c>
      <c r="H1099" s="298">
        <f t="shared" si="212"/>
        <v>16</v>
      </c>
      <c r="I1099" s="298">
        <f t="shared" si="213"/>
        <v>5</v>
      </c>
      <c r="J1099" s="298">
        <f t="shared" si="214"/>
        <v>21</v>
      </c>
      <c r="K1099" s="299">
        <f t="shared" si="215"/>
        <v>400044</v>
      </c>
      <c r="R1099" s="497">
        <f t="shared" si="206"/>
        <v>400044</v>
      </c>
    </row>
    <row r="1100" spans="2:18">
      <c r="B1100" s="604">
        <f t="shared" si="207"/>
        <v>2996</v>
      </c>
      <c r="C1100" s="297">
        <f t="shared" si="205"/>
        <v>28</v>
      </c>
      <c r="D1100" s="297">
        <f t="shared" si="208"/>
        <v>5</v>
      </c>
      <c r="E1100" s="297">
        <f t="shared" si="209"/>
        <v>13</v>
      </c>
      <c r="F1100" s="298">
        <f t="shared" si="210"/>
        <v>0</v>
      </c>
      <c r="G1100" s="298">
        <f t="shared" si="211"/>
        <v>0</v>
      </c>
      <c r="H1100" s="298">
        <f t="shared" si="212"/>
        <v>5</v>
      </c>
      <c r="I1100" s="298">
        <f t="shared" si="213"/>
        <v>0</v>
      </c>
      <c r="J1100" s="298">
        <f t="shared" si="214"/>
        <v>5</v>
      </c>
      <c r="K1100" s="299">
        <f t="shared" si="215"/>
        <v>400394</v>
      </c>
      <c r="R1100" s="497">
        <f t="shared" si="206"/>
        <v>400394</v>
      </c>
    </row>
    <row r="1101" spans="2:18">
      <c r="B1101" s="604">
        <f t="shared" si="207"/>
        <v>2997</v>
      </c>
      <c r="C1101" s="297">
        <f t="shared" si="205"/>
        <v>28</v>
      </c>
      <c r="D1101" s="297">
        <f t="shared" si="208"/>
        <v>5</v>
      </c>
      <c r="E1101" s="297">
        <f t="shared" si="209"/>
        <v>14</v>
      </c>
      <c r="F1101" s="298">
        <f t="shared" si="210"/>
        <v>1</v>
      </c>
      <c r="G1101" s="298">
        <f t="shared" si="211"/>
        <v>1</v>
      </c>
      <c r="H1101" s="298">
        <f t="shared" si="212"/>
        <v>24</v>
      </c>
      <c r="I1101" s="298">
        <f t="shared" si="213"/>
        <v>1</v>
      </c>
      <c r="J1101" s="298">
        <f t="shared" si="214"/>
        <v>25</v>
      </c>
      <c r="K1101" s="299">
        <f t="shared" si="215"/>
        <v>400779</v>
      </c>
      <c r="R1101" s="497">
        <f t="shared" si="206"/>
        <v>400779</v>
      </c>
    </row>
    <row r="1102" spans="2:18">
      <c r="B1102" s="604">
        <f t="shared" si="207"/>
        <v>2998</v>
      </c>
      <c r="C1102" s="297">
        <f t="shared" si="205"/>
        <v>28</v>
      </c>
      <c r="D1102" s="297">
        <f t="shared" si="208"/>
        <v>5</v>
      </c>
      <c r="E1102" s="297">
        <f t="shared" si="209"/>
        <v>15</v>
      </c>
      <c r="F1102" s="298">
        <f t="shared" si="210"/>
        <v>2</v>
      </c>
      <c r="G1102" s="298">
        <f t="shared" si="211"/>
        <v>2</v>
      </c>
      <c r="H1102" s="298">
        <f t="shared" si="212"/>
        <v>13</v>
      </c>
      <c r="I1102" s="298">
        <f t="shared" si="213"/>
        <v>4</v>
      </c>
      <c r="J1102" s="298">
        <f t="shared" si="214"/>
        <v>17</v>
      </c>
      <c r="K1102" s="299">
        <f t="shared" si="215"/>
        <v>401136</v>
      </c>
      <c r="R1102" s="497">
        <f t="shared" si="206"/>
        <v>401136</v>
      </c>
    </row>
    <row r="1103" spans="2:18">
      <c r="B1103" s="604">
        <f t="shared" si="207"/>
        <v>2999</v>
      </c>
      <c r="C1103" s="297">
        <f t="shared" si="205"/>
        <v>28</v>
      </c>
      <c r="D1103" s="297">
        <f t="shared" si="208"/>
        <v>5</v>
      </c>
      <c r="E1103" s="297">
        <f t="shared" si="209"/>
        <v>16</v>
      </c>
      <c r="F1103" s="298">
        <f t="shared" si="210"/>
        <v>3</v>
      </c>
      <c r="G1103" s="298">
        <f t="shared" si="211"/>
        <v>3</v>
      </c>
      <c r="H1103" s="298">
        <f t="shared" si="212"/>
        <v>2</v>
      </c>
      <c r="I1103" s="298">
        <f t="shared" si="213"/>
        <v>0</v>
      </c>
      <c r="J1103" s="298">
        <f t="shared" si="214"/>
        <v>2</v>
      </c>
      <c r="K1103" s="299">
        <f t="shared" si="215"/>
        <v>401486</v>
      </c>
      <c r="R1103" s="497">
        <f t="shared" si="206"/>
        <v>401486</v>
      </c>
    </row>
    <row r="1104" spans="2:18">
      <c r="B1104" s="604">
        <f t="shared" si="207"/>
        <v>3000</v>
      </c>
      <c r="C1104" s="297">
        <f t="shared" si="205"/>
        <v>28</v>
      </c>
      <c r="D1104" s="297">
        <f t="shared" si="208"/>
        <v>6</v>
      </c>
      <c r="E1104" s="297">
        <f t="shared" si="209"/>
        <v>17</v>
      </c>
      <c r="F1104" s="298">
        <f t="shared" si="210"/>
        <v>0</v>
      </c>
      <c r="G1104" s="298">
        <f t="shared" si="211"/>
        <v>4</v>
      </c>
      <c r="H1104" s="298">
        <f t="shared" si="212"/>
        <v>21</v>
      </c>
      <c r="I1104" s="298">
        <f t="shared" si="213"/>
        <v>1</v>
      </c>
      <c r="J1104" s="298">
        <f t="shared" si="214"/>
        <v>22</v>
      </c>
      <c r="K1104" s="299">
        <f t="shared" si="215"/>
        <v>401871</v>
      </c>
      <c r="R1104" s="497">
        <f t="shared" si="206"/>
        <v>401871</v>
      </c>
    </row>
    <row r="1105" spans="18:18">
      <c r="R1105" s="497"/>
    </row>
  </sheetData>
  <sheetProtection password="888B" sheet="1" objects="1" scenarios="1"/>
  <mergeCells count="2">
    <mergeCell ref="B1:K1"/>
    <mergeCell ref="M3:N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1:BU168"/>
  <sheetViews>
    <sheetView showZeros="0" topLeftCell="A3" workbookViewId="0">
      <selection activeCell="W3" sqref="W3"/>
    </sheetView>
  </sheetViews>
  <sheetFormatPr baseColWidth="10" defaultColWidth="4.44140625" defaultRowHeight="12.75" customHeight="1"/>
  <cols>
    <col min="1" max="2" width="4.44140625" style="38" customWidth="1"/>
    <col min="3" max="3" width="5.44140625" style="38" customWidth="1"/>
    <col min="4" max="5" width="4.44140625" style="38" customWidth="1"/>
    <col min="6" max="6" width="5" style="38" customWidth="1"/>
    <col min="7" max="16" width="4.44140625" style="38" customWidth="1"/>
    <col min="17" max="17" width="6.109375" style="38" customWidth="1"/>
    <col min="18" max="21" width="4.44140625" style="38" customWidth="1"/>
    <col min="22" max="22" width="5.33203125" style="38" customWidth="1"/>
    <col min="23" max="23" width="5.88671875" style="38" customWidth="1"/>
    <col min="24" max="24" width="4.44140625" style="38" customWidth="1"/>
    <col min="25" max="25" width="6.5546875" style="39" customWidth="1"/>
    <col min="26" max="26" width="7" style="40" customWidth="1"/>
    <col min="27" max="27" width="6.21875" style="40" customWidth="1"/>
    <col min="28" max="28" width="7" style="40" customWidth="1"/>
    <col min="29" max="29" width="7.6640625" style="40" customWidth="1"/>
    <col min="30" max="30" width="8.6640625" style="40" customWidth="1"/>
    <col min="31" max="32" width="7" style="40" customWidth="1"/>
    <col min="33" max="33" width="6" style="40" customWidth="1"/>
    <col min="34" max="34" width="8.21875" style="40" customWidth="1"/>
    <col min="35" max="35" width="7" style="40" customWidth="1"/>
    <col min="36" max="36" width="6.5546875" style="40" customWidth="1"/>
    <col min="37" max="37" width="8.88671875" style="40" customWidth="1"/>
    <col min="38" max="38" width="4.44140625" style="40" customWidth="1"/>
    <col min="39" max="39" width="8" style="40" customWidth="1"/>
    <col min="40" max="40" width="4.44140625" style="40" customWidth="1"/>
    <col min="41" max="41" width="14.88671875" style="40" customWidth="1"/>
    <col min="42" max="42" width="4.44140625" style="40" customWidth="1"/>
    <col min="43" max="45" width="4.44140625" style="41" customWidth="1"/>
    <col min="46" max="46" width="8.5546875" style="38" customWidth="1"/>
    <col min="47" max="47" width="12.6640625" style="38" customWidth="1"/>
    <col min="48" max="48" width="11.109375" style="38" customWidth="1"/>
    <col min="49" max="49" width="9" style="38" customWidth="1"/>
    <col min="50" max="50" width="10.44140625" style="38" customWidth="1"/>
    <col min="51" max="51" width="8.88671875" style="38" customWidth="1"/>
    <col min="52" max="52" width="10.77734375" style="38" customWidth="1"/>
    <col min="53" max="53" width="11.77734375" style="38" customWidth="1"/>
    <col min="54" max="54" width="9.33203125" style="38" customWidth="1"/>
    <col min="55" max="55" width="9" style="38" customWidth="1"/>
    <col min="56" max="56" width="16.88671875" style="38" customWidth="1"/>
    <col min="57" max="57" width="8.21875" style="38" customWidth="1"/>
    <col min="58" max="58" width="6.77734375" style="38" customWidth="1"/>
    <col min="59" max="59" width="6.5546875" style="38" customWidth="1"/>
    <col min="60" max="60" width="6.33203125" style="38" customWidth="1"/>
    <col min="61" max="61" width="7.88671875" style="38" customWidth="1"/>
    <col min="62" max="62" width="6.88671875" style="38" customWidth="1"/>
    <col min="63" max="63" width="8.109375" style="38" customWidth="1"/>
    <col min="64" max="64" width="7.21875" style="38" customWidth="1"/>
    <col min="65" max="65" width="7.33203125" style="38" customWidth="1"/>
    <col min="66" max="66" width="8.21875" style="38" customWidth="1"/>
    <col min="67" max="67" width="9.77734375" style="38" customWidth="1"/>
    <col min="68" max="68" width="7.6640625" style="38" customWidth="1"/>
    <col min="69" max="69" width="7.33203125" style="38" customWidth="1"/>
    <col min="70" max="70" width="4.44140625" style="38" customWidth="1"/>
    <col min="71" max="71" width="8" style="38" customWidth="1"/>
    <col min="72" max="72" width="6.6640625" style="38" customWidth="1"/>
    <col min="73" max="76" width="4.44140625" style="38" customWidth="1"/>
    <col min="77" max="16384" width="4.44140625" style="38"/>
  </cols>
  <sheetData>
    <row r="1" spans="1:73" ht="12.75" customHeight="1" thickBot="1">
      <c r="A1" s="383">
        <f>AD4</f>
        <v>2024</v>
      </c>
      <c r="V1" s="637">
        <f ca="1">NOW()</f>
        <v>45015.838325115743</v>
      </c>
      <c r="W1" s="638"/>
      <c r="X1" s="638"/>
      <c r="Y1" s="384">
        <f>VALUE($Y$2)</f>
        <v>2024</v>
      </c>
      <c r="Z1" s="67">
        <f>V4</f>
        <v>2024</v>
      </c>
      <c r="AR1" s="385" t="s">
        <v>445</v>
      </c>
      <c r="AU1" s="38" t="str">
        <f>IF(AH11=1,AX2,AU2)</f>
        <v>GF</v>
      </c>
      <c r="BI1" s="526" t="s">
        <v>767</v>
      </c>
      <c r="BJ1" s="38" t="s">
        <v>33</v>
      </c>
      <c r="BK1" s="38" t="s">
        <v>488</v>
      </c>
      <c r="BT1" s="38" t="s">
        <v>489</v>
      </c>
    </row>
    <row r="2" spans="1:73" ht="24.6" customHeight="1" thickTop="1" thickBot="1">
      <c r="D2" s="639" t="s">
        <v>253</v>
      </c>
      <c r="E2" s="640"/>
      <c r="F2" s="640"/>
      <c r="G2" s="640"/>
      <c r="H2" s="640"/>
      <c r="I2" s="640"/>
      <c r="J2" s="640"/>
      <c r="K2" s="640"/>
      <c r="L2" s="640"/>
      <c r="M2" s="640"/>
      <c r="N2" s="640"/>
      <c r="O2" s="640"/>
      <c r="P2" s="640"/>
      <c r="Q2" s="640"/>
      <c r="R2" s="640"/>
      <c r="S2" s="640"/>
      <c r="T2" s="641"/>
      <c r="V2" s="642">
        <f>VALUE(V4)</f>
        <v>2024</v>
      </c>
      <c r="W2" s="642"/>
      <c r="X2" s="642"/>
      <c r="Y2" s="386">
        <f>Principal!$C$10</f>
        <v>2024</v>
      </c>
      <c r="AC2" s="204"/>
      <c r="AD2" s="643" t="str">
        <f>IF(AK3=0,"DEL 4 DE OCTUBRE SE PASÓ AL 15"," ")</f>
        <v xml:space="preserve"> </v>
      </c>
      <c r="AE2" s="644"/>
      <c r="AF2" s="644"/>
      <c r="AG2" s="638"/>
      <c r="AH2" s="638"/>
      <c r="AI2" s="638"/>
      <c r="AJ2" s="43"/>
      <c r="AK2" s="645" t="str">
        <f>IF(Z1=0,"NO EXISTIÓ EL AÑO CERO","")</f>
        <v/>
      </c>
      <c r="AL2" s="646"/>
      <c r="AM2" s="646"/>
      <c r="AN2" s="646"/>
      <c r="AO2" s="646"/>
      <c r="AQ2" s="218">
        <v>0</v>
      </c>
      <c r="AR2" s="218">
        <v>25</v>
      </c>
      <c r="AS2" s="218" t="s">
        <v>414</v>
      </c>
      <c r="AT2" s="387">
        <v>6</v>
      </c>
      <c r="AU2" s="38" t="str">
        <f>VLOOKUP(AB7,AQ2:AS9,3)</f>
        <v>G</v>
      </c>
      <c r="AV2" s="38" t="str">
        <f>AS2</f>
        <v>A</v>
      </c>
      <c r="AW2" s="38" t="s">
        <v>490</v>
      </c>
      <c r="AX2" s="38" t="str">
        <f>VLOOKUP(AU2,AV2:AW9,2,)</f>
        <v>GF</v>
      </c>
      <c r="AY2" s="38" t="str">
        <f>RIGHT(AX2,1)</f>
        <v>F</v>
      </c>
      <c r="BI2" s="38">
        <f>MOD(BJ2,19)+1</f>
        <v>6</v>
      </c>
      <c r="BJ2" s="38">
        <v>2000</v>
      </c>
      <c r="BK2" s="526">
        <v>24</v>
      </c>
      <c r="BL2" s="1"/>
      <c r="BO2" s="526"/>
      <c r="BT2" s="38" t="s">
        <v>34</v>
      </c>
      <c r="BU2" s="38" t="s">
        <v>491</v>
      </c>
    </row>
    <row r="3" spans="1:73" ht="16.2" customHeight="1" thickTop="1" thickBot="1">
      <c r="Y3" s="388"/>
      <c r="Z3" s="643" t="s">
        <v>492</v>
      </c>
      <c r="AA3" s="644"/>
      <c r="AB3" s="644"/>
      <c r="AC3" s="43"/>
      <c r="AD3" s="43"/>
      <c r="AE3" s="43">
        <f>IF(AND(AD4&lt;1582,MOD(AD4,100)=0),1,AF3)</f>
        <v>0</v>
      </c>
      <c r="AF3" s="43">
        <f>IF(V4=-1,-1,0)</f>
        <v>0</v>
      </c>
      <c r="AG3" s="43"/>
      <c r="AH3" s="43"/>
      <c r="AI3" s="43"/>
      <c r="AJ3" s="43"/>
      <c r="AK3" s="47">
        <f>1582-AD4</f>
        <v>-442</v>
      </c>
      <c r="AL3" s="43"/>
      <c r="AM3" s="43"/>
      <c r="AN3" s="43"/>
      <c r="AO3" s="40" t="s">
        <v>493</v>
      </c>
      <c r="AQ3" s="389">
        <v>1</v>
      </c>
      <c r="AR3" s="389">
        <v>31</v>
      </c>
      <c r="AS3" s="389" t="s">
        <v>419</v>
      </c>
      <c r="AT3" s="390">
        <v>0</v>
      </c>
      <c r="AU3" s="38">
        <v>7</v>
      </c>
      <c r="AV3" s="38" t="str">
        <f>AS8</f>
        <v>B</v>
      </c>
      <c r="AW3" s="38" t="s">
        <v>494</v>
      </c>
      <c r="AX3" s="218"/>
      <c r="BI3" s="526">
        <f t="shared" ref="BI3:BI20" si="0">MOD(BJ3,19)+1</f>
        <v>7</v>
      </c>
      <c r="BJ3" s="38">
        <v>2001</v>
      </c>
      <c r="BK3" s="526">
        <v>5</v>
      </c>
      <c r="BL3" s="1"/>
      <c r="BO3" s="526"/>
      <c r="BT3" s="391">
        <v>42451</v>
      </c>
      <c r="BU3" s="38">
        <v>0.48</v>
      </c>
    </row>
    <row r="4" spans="1:73" ht="20.25" customHeight="1" thickTop="1" thickBot="1">
      <c r="B4"/>
      <c r="C4"/>
      <c r="D4" s="647" t="s">
        <v>243</v>
      </c>
      <c r="E4" s="648"/>
      <c r="F4" s="648"/>
      <c r="G4" s="648"/>
      <c r="H4" s="648"/>
      <c r="I4" s="648"/>
      <c r="J4" s="648"/>
      <c r="K4" s="648"/>
      <c r="L4" s="648"/>
      <c r="M4" s="648"/>
      <c r="N4" s="648"/>
      <c r="O4" s="648"/>
      <c r="P4" s="648"/>
      <c r="Q4" s="649">
        <f>$AD$4</f>
        <v>2024</v>
      </c>
      <c r="R4" s="650"/>
      <c r="S4" s="650"/>
      <c r="T4" s="651"/>
      <c r="V4" s="652">
        <f>$Y$1</f>
        <v>2024</v>
      </c>
      <c r="W4" s="653"/>
      <c r="X4" s="654"/>
      <c r="Y4" s="386">
        <f ca="1">IF($AM$48=1,Z4-AE10,"")</f>
        <v>-277</v>
      </c>
      <c r="Z4" s="663">
        <f ca="1">TODAY()</f>
        <v>45015</v>
      </c>
      <c r="AA4" s="664"/>
      <c r="AB4" s="664"/>
      <c r="AC4" s="43"/>
      <c r="AD4" s="665">
        <f>IF(VALUE(V4)&lt;&gt;0,V4,IF(V4=" ",YEAR(Z4)," "))</f>
        <v>2024</v>
      </c>
      <c r="AE4" s="666"/>
      <c r="AF4" s="45">
        <f>IF(Z1&lt;=0,Z1/4,AG4/4)</f>
        <v>506</v>
      </c>
      <c r="AG4" s="667">
        <f>IF(AND(AD5=FALSE,Z1&lt;=0),VALUE(AD4)+1,VALUE(AD4))</f>
        <v>2024</v>
      </c>
      <c r="AH4" s="668"/>
      <c r="AI4" s="45">
        <f>IF(Z1&lt;=0,INT(Z1/4),INT(AG4/4))</f>
        <v>506</v>
      </c>
      <c r="AJ4" s="43"/>
      <c r="AK4" s="212" t="str">
        <f>CONCATENATE(AE7,AD4)</f>
        <v>01/01/2024</v>
      </c>
      <c r="AL4" s="43"/>
      <c r="AM4" s="43"/>
      <c r="AN4" s="43"/>
      <c r="AO4" s="392" t="str">
        <f>AK4</f>
        <v>01/01/2024</v>
      </c>
      <c r="AQ4" s="389">
        <v>2</v>
      </c>
      <c r="AR4" s="389">
        <v>30</v>
      </c>
      <c r="AS4" s="389" t="s">
        <v>418</v>
      </c>
      <c r="AT4" s="390">
        <v>1</v>
      </c>
      <c r="AU4" s="38">
        <v>1</v>
      </c>
      <c r="AV4" s="38" t="str">
        <f>AS7</f>
        <v>C</v>
      </c>
      <c r="AW4" s="38" t="s">
        <v>495</v>
      </c>
      <c r="AX4" s="218"/>
      <c r="BI4" s="526">
        <f t="shared" si="0"/>
        <v>8</v>
      </c>
      <c r="BJ4" s="38">
        <v>2002</v>
      </c>
      <c r="BK4" s="526">
        <v>16</v>
      </c>
      <c r="BL4" s="1"/>
      <c r="BO4" s="526"/>
      <c r="BT4" s="391">
        <v>42452</v>
      </c>
      <c r="BU4" s="38">
        <v>0.95</v>
      </c>
    </row>
    <row r="5" spans="1:73" ht="11.25" customHeight="1" thickTop="1" thickBot="1">
      <c r="F5" s="46"/>
      <c r="U5" s="669"/>
      <c r="V5" s="669"/>
      <c r="Y5" s="42"/>
      <c r="Z5" s="661">
        <f ca="1">YEAR(Z4)</f>
        <v>2023</v>
      </c>
      <c r="AA5" s="661"/>
      <c r="AB5" s="661">
        <f ca="1">IF(Y4&lt;0,Z5-1,Z5)</f>
        <v>2022</v>
      </c>
      <c r="AC5" s="643"/>
      <c r="AD5" s="210" t="b">
        <f>ISERROR(V2)</f>
        <v>0</v>
      </c>
      <c r="AE5" s="207">
        <f>IF(Z1&lt;=0,MOD((AG4-1),400),MOD(AG4,400))</f>
        <v>24</v>
      </c>
      <c r="AF5" s="47">
        <f>IF(V4+0&gt;1582,MOD(AG4,100),IF(Z1=0,0,1))</f>
        <v>24</v>
      </c>
      <c r="AG5" s="43"/>
      <c r="AH5" s="47">
        <f>MOD(AD4,4)</f>
        <v>0</v>
      </c>
      <c r="AI5" s="43"/>
      <c r="AJ5" s="655" t="str">
        <f>$AE$9</f>
        <v>01/01/2024</v>
      </c>
      <c r="AK5" s="656"/>
      <c r="AL5" s="656"/>
      <c r="AM5" s="657"/>
      <c r="AN5" s="356"/>
      <c r="AQ5" s="389">
        <v>3</v>
      </c>
      <c r="AR5" s="389">
        <v>29</v>
      </c>
      <c r="AS5" s="389" t="s">
        <v>417</v>
      </c>
      <c r="AT5" s="390">
        <v>2</v>
      </c>
      <c r="AU5" s="38">
        <v>2</v>
      </c>
      <c r="AV5" s="38" t="str">
        <f>AS6</f>
        <v>D</v>
      </c>
      <c r="AW5" s="38" t="s">
        <v>496</v>
      </c>
      <c r="AX5" s="218"/>
      <c r="BI5" s="526">
        <f t="shared" si="0"/>
        <v>9</v>
      </c>
      <c r="BJ5" s="38">
        <v>2003</v>
      </c>
      <c r="BK5" s="526">
        <v>27</v>
      </c>
      <c r="BL5" s="1"/>
      <c r="BO5" s="526"/>
      <c r="BT5" s="391">
        <v>42453</v>
      </c>
      <c r="BU5" s="38">
        <v>1.43</v>
      </c>
    </row>
    <row r="6" spans="1:73" ht="15.75" customHeight="1" thickTop="1" thickBot="1">
      <c r="B6" s="658" t="s">
        <v>208</v>
      </c>
      <c r="C6" s="659"/>
      <c r="D6" s="659"/>
      <c r="E6" s="659"/>
      <c r="F6" s="659"/>
      <c r="G6" s="659"/>
      <c r="H6" s="659"/>
      <c r="I6" s="659"/>
      <c r="J6" s="660"/>
      <c r="N6" s="658" t="s">
        <v>209</v>
      </c>
      <c r="O6" s="659"/>
      <c r="P6" s="659"/>
      <c r="Q6" s="659"/>
      <c r="R6" s="659"/>
      <c r="S6" s="659"/>
      <c r="T6" s="659"/>
      <c r="U6" s="659"/>
      <c r="V6" s="660"/>
      <c r="X6" s="41" t="b">
        <f>ISNUMBER(V4)</f>
        <v>1</v>
      </c>
      <c r="Y6" s="42"/>
      <c r="Z6" s="643" t="s">
        <v>210</v>
      </c>
      <c r="AA6" s="643"/>
      <c r="AB6" s="643"/>
      <c r="AC6" s="43"/>
      <c r="AD6" s="643"/>
      <c r="AE6" s="643"/>
      <c r="AF6" s="643"/>
      <c r="AG6" s="43" t="str">
        <f>RIGHT(V4,2)</f>
        <v>24</v>
      </c>
      <c r="AH6" s="661">
        <f>AD4-1900</f>
        <v>124</v>
      </c>
      <c r="AI6" s="662"/>
      <c r="AJ6" s="643" t="s">
        <v>277</v>
      </c>
      <c r="AK6" s="634"/>
      <c r="AL6" s="634"/>
      <c r="AM6" s="634"/>
      <c r="AN6" s="355"/>
      <c r="AQ6" s="389">
        <v>4</v>
      </c>
      <c r="AR6" s="389">
        <v>28</v>
      </c>
      <c r="AS6" s="389" t="s">
        <v>230</v>
      </c>
      <c r="AT6" s="390">
        <v>3</v>
      </c>
      <c r="AU6" s="38">
        <v>3</v>
      </c>
      <c r="AV6" s="38" t="str">
        <f>AS5</f>
        <v>E</v>
      </c>
      <c r="AW6" s="38" t="s">
        <v>497</v>
      </c>
      <c r="AX6" s="218"/>
      <c r="BI6" s="526">
        <f t="shared" si="0"/>
        <v>10</v>
      </c>
      <c r="BJ6" s="38">
        <v>2004</v>
      </c>
      <c r="BK6" s="526">
        <v>8</v>
      </c>
      <c r="BL6" s="1"/>
      <c r="BO6" s="526"/>
      <c r="BT6" s="391">
        <v>42454</v>
      </c>
      <c r="BU6" s="38">
        <v>1.93</v>
      </c>
    </row>
    <row r="7" spans="1:73" ht="12" customHeight="1" thickTop="1" thickBot="1">
      <c r="Y7" s="42"/>
      <c r="Z7" s="629">
        <f>IF($AM$48=1,$AE$15,"01/01 ")</f>
        <v>45292</v>
      </c>
      <c r="AA7" s="629"/>
      <c r="AB7" s="252">
        <f>IF(Z1&gt;0,MOD(AK33,7),MOD(AI17,7))</f>
        <v>1</v>
      </c>
      <c r="AC7" s="43" t="str">
        <f>LEFT($AT21,3)</f>
        <v>Ene</v>
      </c>
      <c r="AD7" s="40" t="str">
        <f>VLOOKUP(AB7,$AK$20:$AL$27,2)</f>
        <v>Lunes</v>
      </c>
      <c r="AE7" s="670" t="s">
        <v>244</v>
      </c>
      <c r="AF7" s="671"/>
      <c r="AG7" s="671"/>
      <c r="AH7" s="43">
        <f>IF(AG4&lt;1583,INT(AG4/100)-INT(AG4/400),9)</f>
        <v>9</v>
      </c>
      <c r="AI7" s="43"/>
      <c r="AK7" s="203"/>
      <c r="AL7" s="203"/>
      <c r="AM7" s="203"/>
      <c r="AN7" s="203"/>
      <c r="AO7" s="43"/>
      <c r="AQ7" s="389">
        <v>5</v>
      </c>
      <c r="AR7" s="389">
        <v>27</v>
      </c>
      <c r="AS7" s="389" t="s">
        <v>416</v>
      </c>
      <c r="AT7" s="390">
        <v>4</v>
      </c>
      <c r="AU7" s="38">
        <v>4</v>
      </c>
      <c r="AV7" s="38" t="str">
        <f>AS4</f>
        <v>F</v>
      </c>
      <c r="AW7" s="38" t="s">
        <v>498</v>
      </c>
      <c r="AX7" s="218"/>
      <c r="BI7" s="526">
        <f t="shared" si="0"/>
        <v>11</v>
      </c>
      <c r="BJ7" s="38">
        <v>2005</v>
      </c>
      <c r="BK7" s="526">
        <v>19</v>
      </c>
      <c r="BL7" s="1"/>
      <c r="BO7" s="526"/>
      <c r="BT7" s="391">
        <v>42455</v>
      </c>
      <c r="BU7" s="38">
        <v>2.33</v>
      </c>
    </row>
    <row r="8" spans="1:73" ht="14.25" customHeight="1" thickTop="1" thickBot="1">
      <c r="B8" s="157" t="s">
        <v>82</v>
      </c>
      <c r="C8" s="158" t="s">
        <v>245</v>
      </c>
      <c r="D8" s="159" t="s">
        <v>237</v>
      </c>
      <c r="E8" s="159" t="s">
        <v>234</v>
      </c>
      <c r="F8" s="159" t="s">
        <v>246</v>
      </c>
      <c r="G8" s="159" t="s">
        <v>241</v>
      </c>
      <c r="H8" s="159" t="s">
        <v>223</v>
      </c>
      <c r="I8" s="160" t="s">
        <v>212</v>
      </c>
      <c r="J8" s="161" t="s">
        <v>230</v>
      </c>
      <c r="K8" s="54" t="s">
        <v>247</v>
      </c>
      <c r="L8" s="54"/>
      <c r="N8" s="162" t="s">
        <v>82</v>
      </c>
      <c r="O8" s="158" t="s">
        <v>245</v>
      </c>
      <c r="P8" s="159" t="s">
        <v>237</v>
      </c>
      <c r="Q8" s="159" t="s">
        <v>234</v>
      </c>
      <c r="R8" s="159" t="s">
        <v>246</v>
      </c>
      <c r="S8" s="159" t="s">
        <v>241</v>
      </c>
      <c r="T8" s="159" t="s">
        <v>223</v>
      </c>
      <c r="U8" s="160" t="s">
        <v>212</v>
      </c>
      <c r="V8" s="161" t="s">
        <v>230</v>
      </c>
      <c r="W8" s="54" t="s">
        <v>247</v>
      </c>
      <c r="X8" s="54"/>
      <c r="Y8" s="42"/>
      <c r="Z8" s="629">
        <f>IF($AM$48=1,Z7+31,"01/02 ")</f>
        <v>45323</v>
      </c>
      <c r="AA8" s="629"/>
      <c r="AB8" s="48">
        <f>MOD(AB7+31,7)</f>
        <v>4</v>
      </c>
      <c r="AC8" s="43" t="str">
        <f t="shared" ref="AC8:AC18" si="1">LEFT($AT22,3)</f>
        <v>Feb</v>
      </c>
      <c r="AD8" s="40" t="str">
        <f t="shared" ref="AD8:AD18" si="2">VLOOKUP(AB8,$AK$20:$AL$27,2)</f>
        <v>Jueves</v>
      </c>
      <c r="AE8" s="670" t="s">
        <v>211</v>
      </c>
      <c r="AF8" s="671"/>
      <c r="AG8" s="671"/>
      <c r="AH8" s="43"/>
      <c r="AI8" s="49"/>
      <c r="AJ8" s="661" t="s">
        <v>278</v>
      </c>
      <c r="AK8" s="643"/>
      <c r="AL8" s="204" t="str">
        <f>LEFT(AK4,2)</f>
        <v>01</v>
      </c>
      <c r="AM8" s="43">
        <f>VALUE(AL8)</f>
        <v>1</v>
      </c>
      <c r="AN8" s="43"/>
      <c r="AO8" s="49"/>
      <c r="AQ8" s="389">
        <v>6</v>
      </c>
      <c r="AR8" s="389">
        <v>26</v>
      </c>
      <c r="AS8" s="389" t="s">
        <v>415</v>
      </c>
      <c r="AT8" s="390">
        <v>5</v>
      </c>
      <c r="AU8" s="38">
        <v>5</v>
      </c>
      <c r="AV8" s="38" t="str">
        <f>AS3</f>
        <v>G</v>
      </c>
      <c r="AW8" s="38" t="s">
        <v>499</v>
      </c>
      <c r="AX8" s="218"/>
      <c r="BI8" s="526">
        <f t="shared" si="0"/>
        <v>12</v>
      </c>
      <c r="BJ8" s="38">
        <v>2006</v>
      </c>
      <c r="BK8" s="526" t="s">
        <v>611</v>
      </c>
      <c r="BL8" s="1"/>
      <c r="BO8" s="526"/>
      <c r="BT8" s="391">
        <v>42456</v>
      </c>
      <c r="BU8" s="38">
        <v>2.9</v>
      </c>
    </row>
    <row r="9" spans="1:73" ht="11.25" customHeight="1" thickTop="1" thickBot="1">
      <c r="I9" s="163"/>
      <c r="L9" s="51"/>
      <c r="O9" s="52"/>
      <c r="Q9" s="672"/>
      <c r="R9" s="673"/>
      <c r="S9" s="673"/>
      <c r="T9" s="53"/>
      <c r="Y9" s="42"/>
      <c r="Z9" s="629">
        <f>IF($AM$48=1,$AH$9,"01/03")</f>
        <v>45352</v>
      </c>
      <c r="AA9" s="629"/>
      <c r="AB9" s="48">
        <f>MOD(AB8+28+AH11,7)</f>
        <v>5</v>
      </c>
      <c r="AC9" s="43" t="str">
        <f t="shared" si="1"/>
        <v>Mar</v>
      </c>
      <c r="AD9" s="40" t="str">
        <f t="shared" si="2"/>
        <v>Viernes</v>
      </c>
      <c r="AE9" s="674" t="str">
        <f>CONCATENATE(AE7,V4)</f>
        <v>01/01/2024</v>
      </c>
      <c r="AF9" s="671"/>
      <c r="AG9" s="671"/>
      <c r="AH9" s="675">
        <f>IF($AH$11=1,$Z$8+29,IF(AH6&gt;0,$Z$8+29,$Z$8+28))</f>
        <v>45352</v>
      </c>
      <c r="AI9" s="675"/>
      <c r="AJ9" s="629" t="s">
        <v>82</v>
      </c>
      <c r="AK9" s="629"/>
      <c r="AL9" s="40" t="str">
        <f>MID(AK4,4,2)</f>
        <v>01</v>
      </c>
      <c r="AM9" s="43">
        <f>VALUE(AL9)</f>
        <v>1</v>
      </c>
      <c r="AN9" s="643" t="str">
        <f>VLOOKUP(AM9,AO21:AT32,6)</f>
        <v>Enero</v>
      </c>
      <c r="AO9" s="638"/>
      <c r="AP9" s="638"/>
      <c r="AQ9" s="389">
        <v>7</v>
      </c>
      <c r="AR9" s="389">
        <v>25</v>
      </c>
      <c r="AS9" s="389" t="s">
        <v>414</v>
      </c>
      <c r="AT9" s="390">
        <v>6</v>
      </c>
      <c r="AU9" s="38">
        <v>6</v>
      </c>
      <c r="AV9" s="38" t="str">
        <f>AS2</f>
        <v>A</v>
      </c>
      <c r="AW9" s="38" t="s">
        <v>490</v>
      </c>
      <c r="AX9" s="218"/>
      <c r="BI9" s="526">
        <f t="shared" si="0"/>
        <v>13</v>
      </c>
      <c r="BJ9" s="38">
        <v>2007</v>
      </c>
      <c r="BK9" s="526">
        <v>11</v>
      </c>
      <c r="BL9" s="1"/>
      <c r="BO9" s="526"/>
      <c r="BT9" s="391">
        <v>42457</v>
      </c>
      <c r="BU9" s="38">
        <v>3.26</v>
      </c>
    </row>
    <row r="10" spans="1:73" ht="12.75" customHeight="1" thickTop="1">
      <c r="B10" s="678" t="s">
        <v>255</v>
      </c>
      <c r="C10" s="151">
        <v>1</v>
      </c>
      <c r="D10" s="286">
        <f>IF($AB$7=1,1," ")</f>
        <v>1</v>
      </c>
      <c r="E10" s="278">
        <f>IF($AB$7=2,1,IF(D10=1,D10+1," "))</f>
        <v>2</v>
      </c>
      <c r="F10" s="286">
        <f>IF($AB$7=3,1,IF(D10=1,D10+2,IF(E10=1,E10+1," ")))</f>
        <v>3</v>
      </c>
      <c r="G10" s="286">
        <f>IF($AB$7=4,1,IF($D10=1,$D10+3,IF($E10=1,$E10+2,IF($F10=1,$F10+1," "))))</f>
        <v>4</v>
      </c>
      <c r="H10" s="278">
        <f>IF($AB$7=5,1,IF($D10=1,$D10+4,IF($E10=1,$E10+3,IF($F10=1,$F10+2,IF($G10=1,$G10+1," ")))))</f>
        <v>5</v>
      </c>
      <c r="I10" s="278">
        <f>IF($AB$7=6,1,IF($D10=1,$D10+5,IF($E10=1,$E10+4,IF($F10=1,$F10+3,IF($G10=1,$G10+2,IF($H10=1,H10+1," "))))))</f>
        <v>6</v>
      </c>
      <c r="J10" s="279">
        <f>IF($AB$7=0,1,IF($D10=1,$D10+6,IF($E10=1,$E10+5,IF($F10=1,$F10+4,IF($G10=1,$G10+3,IF($H10=1,$H10+2,IF($I10=1,$I10+1," ")))))))</f>
        <v>7</v>
      </c>
      <c r="K10" s="69"/>
      <c r="L10" s="69"/>
      <c r="M10" s="62"/>
      <c r="N10" s="678" t="s">
        <v>260</v>
      </c>
      <c r="O10" s="151">
        <f>IF(P10&lt;&gt;" ",C45+1,C45)</f>
        <v>27</v>
      </c>
      <c r="P10" s="278">
        <f>IF($AB$13=1,1," ")</f>
        <v>1</v>
      </c>
      <c r="Q10" s="278">
        <f>IF($AB$13=2,1,IF(P10=1,P10+1," "))</f>
        <v>2</v>
      </c>
      <c r="R10" s="278">
        <f>IF($AB$13=3,1,IF(P10=1,P10+2,IF(Q10=1,Q10+1," ")))</f>
        <v>3</v>
      </c>
      <c r="S10" s="278">
        <f>IF($AB$13=4,1,IF($P10=1,$P10+3,IF($Q10=1,$Q10+2,IF($R10=1,$R10+1," "))))</f>
        <v>4</v>
      </c>
      <c r="T10" s="278">
        <f>IF($AB$13=5,1,IF($P10=1,$P10+4,IF($Q10=1,$Q10+3,IF($R10=1,$R10+2,IF($S10=1,$S10+1," ")))))</f>
        <v>5</v>
      </c>
      <c r="U10" s="278">
        <f>IF($AB$13=6,1,IF($P10=1,$P10+5,IF($Q10=1,$Q10+4,IF($R10=1,$R10+3,IF($S10=1,$S10+2,IF($T10=1,T10+1," "))))))</f>
        <v>6</v>
      </c>
      <c r="V10" s="279">
        <f>IF($AB$13=0,1,IF($P10=1,$P10+6,IF($Q10=1,$Q10+5,IF($R10=1,$R10+4,IF($S10=1,$S10+3,IF($T10=1,$T10+2,IF($U10=1,$U10+1," ")))))))</f>
        <v>7</v>
      </c>
      <c r="W10" s="69"/>
      <c r="X10" s="69"/>
      <c r="Y10" s="42"/>
      <c r="Z10" s="629">
        <f>IF($AM$48=1,Z9+31,"01/04 ")</f>
        <v>45383</v>
      </c>
      <c r="AA10" s="629"/>
      <c r="AB10" s="48">
        <f>MOD(AB9+31,7)</f>
        <v>1</v>
      </c>
      <c r="AC10" s="43" t="str">
        <f t="shared" si="1"/>
        <v>Abr</v>
      </c>
      <c r="AD10" s="40" t="str">
        <f t="shared" si="2"/>
        <v>Lunes</v>
      </c>
      <c r="AE10" s="629" t="str">
        <f>AE9</f>
        <v>01/01/2024</v>
      </c>
      <c r="AF10" s="671"/>
      <c r="AG10" s="671"/>
      <c r="AH10" s="43"/>
      <c r="AI10" s="43"/>
      <c r="AJ10" s="643" t="s">
        <v>33</v>
      </c>
      <c r="AK10" s="643"/>
      <c r="AL10" s="47">
        <f>AD4</f>
        <v>2024</v>
      </c>
      <c r="AM10" s="43">
        <f>VALUE(AL10)</f>
        <v>2024</v>
      </c>
      <c r="AN10" s="43"/>
      <c r="AO10" s="49"/>
      <c r="AQ10" s="218"/>
      <c r="AR10" s="218"/>
      <c r="AS10" s="218"/>
      <c r="AT10" s="218"/>
      <c r="AU10" s="389" t="s">
        <v>500</v>
      </c>
      <c r="BI10" s="526">
        <f t="shared" si="0"/>
        <v>14</v>
      </c>
      <c r="BJ10" s="38">
        <v>2008</v>
      </c>
      <c r="BK10" s="526">
        <v>22</v>
      </c>
      <c r="BL10" s="1"/>
      <c r="BO10" s="526"/>
      <c r="BT10" s="391">
        <v>42458</v>
      </c>
      <c r="BU10" s="38">
        <v>3.38</v>
      </c>
    </row>
    <row r="11" spans="1:73" ht="12.75" customHeight="1">
      <c r="B11" s="679"/>
      <c r="C11" s="152">
        <f>C10+1</f>
        <v>2</v>
      </c>
      <c r="D11" s="288">
        <f>J10+1</f>
        <v>8</v>
      </c>
      <c r="E11" s="280">
        <f t="shared" ref="E11:J13" si="3">D11+1</f>
        <v>9</v>
      </c>
      <c r="F11" s="287">
        <f t="shared" si="3"/>
        <v>10</v>
      </c>
      <c r="G11" s="287">
        <f t="shared" si="3"/>
        <v>11</v>
      </c>
      <c r="H11" s="284">
        <f t="shared" si="3"/>
        <v>12</v>
      </c>
      <c r="I11" s="280">
        <f t="shared" si="3"/>
        <v>13</v>
      </c>
      <c r="J11" s="281">
        <f t="shared" si="3"/>
        <v>14</v>
      </c>
      <c r="K11" s="70"/>
      <c r="L11" s="70"/>
      <c r="M11" s="62"/>
      <c r="N11" s="679"/>
      <c r="O11" s="152">
        <f>O10+1</f>
        <v>28</v>
      </c>
      <c r="P11" s="280">
        <f>V10+1</f>
        <v>8</v>
      </c>
      <c r="Q11" s="280">
        <f t="shared" ref="Q11:V13" si="4">P11+1</f>
        <v>9</v>
      </c>
      <c r="R11" s="280">
        <f t="shared" si="4"/>
        <v>10</v>
      </c>
      <c r="S11" s="280">
        <f t="shared" si="4"/>
        <v>11</v>
      </c>
      <c r="T11" s="280">
        <f t="shared" si="4"/>
        <v>12</v>
      </c>
      <c r="U11" s="280">
        <f t="shared" si="4"/>
        <v>13</v>
      </c>
      <c r="V11" s="281">
        <f t="shared" si="4"/>
        <v>14</v>
      </c>
      <c r="W11" s="70"/>
      <c r="X11" s="70"/>
      <c r="Y11" s="42"/>
      <c r="Z11" s="629">
        <f>IF($AM$48=1,Z10+30,"01/05 ")</f>
        <v>45413</v>
      </c>
      <c r="AA11" s="630"/>
      <c r="AB11" s="220">
        <f>MOD(AB10+30,7)</f>
        <v>3</v>
      </c>
      <c r="AC11" s="43" t="str">
        <f t="shared" si="1"/>
        <v>May</v>
      </c>
      <c r="AD11" s="40" t="str">
        <f t="shared" si="2"/>
        <v>Miércoles</v>
      </c>
      <c r="AE11" s="643" t="str">
        <f>IF(AH11=1,"Año bisiesto"," ")</f>
        <v>Año bisiesto</v>
      </c>
      <c r="AF11" s="644"/>
      <c r="AG11" s="644"/>
      <c r="AH11" s="42">
        <f>IF(AND($AF$4=$AI$4,AF5&lt;&gt;0,$V$4&lt;&gt;1900),1,IF($AE$5=0,1,0))</f>
        <v>1</v>
      </c>
      <c r="AI11" s="393" t="s">
        <v>501</v>
      </c>
      <c r="AJ11" s="49"/>
      <c r="AK11" s="49"/>
      <c r="AL11" s="49"/>
      <c r="AM11" s="681">
        <f>(AM10-1)*365+INT((AM10-1)/4)-INT((AM10-1)/100)+INT((AM10-1)/400)</f>
        <v>738885</v>
      </c>
      <c r="AN11" s="681"/>
      <c r="AO11" s="682"/>
      <c r="AP11" s="40" t="s">
        <v>502</v>
      </c>
      <c r="AQ11" s="40"/>
      <c r="AR11" s="394" t="s">
        <v>503</v>
      </c>
      <c r="AS11" s="395"/>
      <c r="AT11" s="395"/>
      <c r="AU11" s="38">
        <f>VLOOKUP(AB7,AQ2:AT9,4)</f>
        <v>0</v>
      </c>
      <c r="AX11" s="38" t="s">
        <v>428</v>
      </c>
      <c r="BI11" s="526">
        <f t="shared" si="0"/>
        <v>15</v>
      </c>
      <c r="BJ11" s="38">
        <v>2009</v>
      </c>
      <c r="BK11" s="526">
        <v>3</v>
      </c>
      <c r="BL11" s="1"/>
      <c r="BO11" s="526"/>
      <c r="BT11" s="391">
        <v>42459</v>
      </c>
      <c r="BU11" s="38">
        <v>3.33</v>
      </c>
    </row>
    <row r="12" spans="1:73" ht="12.75" customHeight="1">
      <c r="B12" s="679"/>
      <c r="C12" s="152">
        <f>C11+1</f>
        <v>3</v>
      </c>
      <c r="D12" s="280">
        <f>J11+1</f>
        <v>15</v>
      </c>
      <c r="E12" s="280">
        <f t="shared" si="3"/>
        <v>16</v>
      </c>
      <c r="F12" s="287">
        <f t="shared" si="3"/>
        <v>17</v>
      </c>
      <c r="G12" s="289">
        <f t="shared" si="3"/>
        <v>18</v>
      </c>
      <c r="H12" s="280">
        <f t="shared" si="3"/>
        <v>19</v>
      </c>
      <c r="I12" s="280">
        <f t="shared" si="3"/>
        <v>20</v>
      </c>
      <c r="J12" s="281">
        <f t="shared" si="3"/>
        <v>21</v>
      </c>
      <c r="K12" s="70"/>
      <c r="L12" s="70"/>
      <c r="M12" s="66"/>
      <c r="N12" s="679"/>
      <c r="O12" s="152">
        <f>O11+1</f>
        <v>29</v>
      </c>
      <c r="P12" s="280">
        <f>V11+1</f>
        <v>15</v>
      </c>
      <c r="Q12" s="280">
        <f t="shared" si="4"/>
        <v>16</v>
      </c>
      <c r="R12" s="280">
        <f t="shared" si="4"/>
        <v>17</v>
      </c>
      <c r="S12" s="280">
        <f t="shared" si="4"/>
        <v>18</v>
      </c>
      <c r="T12" s="280">
        <f t="shared" si="4"/>
        <v>19</v>
      </c>
      <c r="U12" s="280">
        <f t="shared" si="4"/>
        <v>20</v>
      </c>
      <c r="V12" s="281">
        <f t="shared" si="4"/>
        <v>21</v>
      </c>
      <c r="W12" s="70"/>
      <c r="X12" s="70"/>
      <c r="Y12" s="42"/>
      <c r="Z12" s="629">
        <f>IF($AM$48=1,Z11+31,"01/06 ")</f>
        <v>45444</v>
      </c>
      <c r="AA12" s="630"/>
      <c r="AB12" s="48">
        <f>MOD(AB11+31,7)</f>
        <v>6</v>
      </c>
      <c r="AC12" s="43" t="str">
        <f t="shared" si="1"/>
        <v>Jun</v>
      </c>
      <c r="AD12" s="40" t="str">
        <f t="shared" si="2"/>
        <v>Sábado</v>
      </c>
      <c r="AE12" s="643" t="str">
        <f>CONCATENATE(AE8,AG4)</f>
        <v>29/02/2024</v>
      </c>
      <c r="AF12" s="671"/>
      <c r="AG12" s="671"/>
      <c r="AH12" s="43">
        <f>IF(OR(AND(AH5=0,AF5&lt;&gt;0),AE5=0),1,0)</f>
        <v>1</v>
      </c>
      <c r="AI12" s="49"/>
      <c r="AJ12" s="676"/>
      <c r="AK12" s="677"/>
      <c r="AL12" s="50"/>
      <c r="AM12" s="643">
        <f>IF(AH11=1,VLOOKUP(AM9-1,AO20:AS32,5),VLOOKUP(AM9-1,AO20:AS32,3))</f>
        <v>0</v>
      </c>
      <c r="AN12" s="643"/>
      <c r="AO12" s="643"/>
      <c r="AP12" s="40" t="s">
        <v>23</v>
      </c>
      <c r="AQ12" s="40"/>
      <c r="AR12" s="385" t="s">
        <v>504</v>
      </c>
      <c r="AT12" s="41"/>
      <c r="AU12" s="38" t="s">
        <v>505</v>
      </c>
      <c r="AV12" s="38">
        <v>7</v>
      </c>
      <c r="AX12" s="38">
        <f>IF(AH11=1,AU11+1,AU11)</f>
        <v>1</v>
      </c>
      <c r="BI12" s="526">
        <f t="shared" si="0"/>
        <v>16</v>
      </c>
      <c r="BJ12" s="38">
        <v>2010</v>
      </c>
      <c r="BK12" s="526">
        <v>14</v>
      </c>
      <c r="BL12" s="1"/>
      <c r="BO12" s="526"/>
      <c r="BT12" s="391">
        <v>42460</v>
      </c>
      <c r="BU12" s="38">
        <v>3.33</v>
      </c>
    </row>
    <row r="13" spans="1:73" ht="12.75" customHeight="1">
      <c r="B13" s="679"/>
      <c r="C13" s="152">
        <f>C12+1</f>
        <v>4</v>
      </c>
      <c r="D13" s="289">
        <f>J12+1</f>
        <v>22</v>
      </c>
      <c r="E13" s="280">
        <f t="shared" si="3"/>
        <v>23</v>
      </c>
      <c r="F13" s="289">
        <f t="shared" si="3"/>
        <v>24</v>
      </c>
      <c r="G13" s="280">
        <f t="shared" si="3"/>
        <v>25</v>
      </c>
      <c r="H13" s="289">
        <f t="shared" si="3"/>
        <v>26</v>
      </c>
      <c r="I13" s="280">
        <f t="shared" si="3"/>
        <v>27</v>
      </c>
      <c r="J13" s="281">
        <f t="shared" si="3"/>
        <v>28</v>
      </c>
      <c r="K13" s="70"/>
      <c r="L13" s="70"/>
      <c r="M13" s="66"/>
      <c r="N13" s="679"/>
      <c r="O13" s="152">
        <f>O12+1</f>
        <v>30</v>
      </c>
      <c r="P13" s="280">
        <f>V12+1</f>
        <v>22</v>
      </c>
      <c r="Q13" s="280">
        <f t="shared" si="4"/>
        <v>23</v>
      </c>
      <c r="R13" s="280">
        <f t="shared" si="4"/>
        <v>24</v>
      </c>
      <c r="S13" s="280">
        <f t="shared" si="4"/>
        <v>25</v>
      </c>
      <c r="T13" s="280">
        <f t="shared" si="4"/>
        <v>26</v>
      </c>
      <c r="U13" s="280">
        <f t="shared" si="4"/>
        <v>27</v>
      </c>
      <c r="V13" s="281">
        <f t="shared" si="4"/>
        <v>28</v>
      </c>
      <c r="W13" s="70"/>
      <c r="X13" s="70"/>
      <c r="Y13" s="42"/>
      <c r="Z13" s="629">
        <f>IF($AM$48=1,Z12+30,"01/07 ")</f>
        <v>45474</v>
      </c>
      <c r="AA13" s="630"/>
      <c r="AB13" s="48">
        <f>MOD(AB12+30,7)</f>
        <v>1</v>
      </c>
      <c r="AC13" s="43" t="str">
        <f t="shared" si="1"/>
        <v>Jul</v>
      </c>
      <c r="AD13" s="40" t="str">
        <f t="shared" si="2"/>
        <v>Lunes</v>
      </c>
      <c r="AE13" s="629">
        <f>IF(AM48=1,Z11+59," ")</f>
        <v>45472</v>
      </c>
      <c r="AF13" s="671"/>
      <c r="AG13" s="671"/>
      <c r="AH13" s="43"/>
      <c r="AI13" s="49"/>
      <c r="AJ13" s="50"/>
      <c r="AK13" s="50"/>
      <c r="AL13" s="50"/>
      <c r="AM13" s="643">
        <f>AM8</f>
        <v>1</v>
      </c>
      <c r="AN13" s="643"/>
      <c r="AO13" s="643"/>
      <c r="AP13" s="40" t="s">
        <v>22</v>
      </c>
      <c r="AQ13" s="396"/>
      <c r="AR13" s="385" t="s">
        <v>506</v>
      </c>
      <c r="AT13" s="41"/>
      <c r="BI13" s="526">
        <f t="shared" si="0"/>
        <v>17</v>
      </c>
      <c r="BJ13" s="38">
        <v>2011</v>
      </c>
      <c r="BK13" s="526">
        <v>25</v>
      </c>
      <c r="BL13" s="1"/>
      <c r="BO13" s="526"/>
      <c r="BT13" s="391">
        <v>42461</v>
      </c>
      <c r="BU13" s="38">
        <v>3.38</v>
      </c>
    </row>
    <row r="14" spans="1:73" ht="12.75" customHeight="1" thickBot="1">
      <c r="B14" s="679"/>
      <c r="C14" s="152">
        <f>C13+1</f>
        <v>5</v>
      </c>
      <c r="D14" s="280">
        <f>J13+1</f>
        <v>29</v>
      </c>
      <c r="E14" s="280">
        <f>D14+1</f>
        <v>30</v>
      </c>
      <c r="F14" s="280">
        <f>IF(E14&lt;31,E14+1," ")</f>
        <v>31</v>
      </c>
      <c r="G14" s="280" t="str">
        <f>IF(E14&lt;30,E14+2," ")</f>
        <v xml:space="preserve"> </v>
      </c>
      <c r="H14" s="280" t="str">
        <f>IF(E14&lt;29,E14+3," ")</f>
        <v xml:space="preserve"> </v>
      </c>
      <c r="I14" s="280" t="str">
        <f>IF(E14&lt;28,E14+4," ")</f>
        <v xml:space="preserve"> </v>
      </c>
      <c r="J14" s="281" t="str">
        <f>IF(E14&lt;27,E14+5," ")</f>
        <v xml:space="preserve"> </v>
      </c>
      <c r="K14" s="70"/>
      <c r="L14" s="70"/>
      <c r="M14" s="62"/>
      <c r="N14" s="679"/>
      <c r="O14" s="154">
        <f>O13+1</f>
        <v>31</v>
      </c>
      <c r="P14" s="284">
        <f>V13+1</f>
        <v>29</v>
      </c>
      <c r="Q14" s="284">
        <f>P14+1</f>
        <v>30</v>
      </c>
      <c r="R14" s="284">
        <f>Q14+1</f>
        <v>31</v>
      </c>
      <c r="S14" s="284" t="str">
        <f>IF(Q14&lt;30,Q14+2," ")</f>
        <v xml:space="preserve"> </v>
      </c>
      <c r="T14" s="284" t="str">
        <f>IF(Q14&lt;29,Q14+3," ")</f>
        <v xml:space="preserve"> </v>
      </c>
      <c r="U14" s="284" t="str">
        <f>IF(Q14&lt;28,Q14+4," ")</f>
        <v xml:space="preserve"> </v>
      </c>
      <c r="V14" s="285" t="str">
        <f>IF(Q14&lt;27,Q14+5," ")</f>
        <v xml:space="preserve"> </v>
      </c>
      <c r="W14" s="75"/>
      <c r="X14" s="75"/>
      <c r="Y14" s="42"/>
      <c r="Z14" s="629">
        <f>IF($AM$48=1,Z13+31,"01/08 ")</f>
        <v>45505</v>
      </c>
      <c r="AA14" s="630"/>
      <c r="AB14" s="48">
        <f>MOD(AB13+31,7)</f>
        <v>4</v>
      </c>
      <c r="AC14" s="43" t="str">
        <f t="shared" si="1"/>
        <v>Ago</v>
      </c>
      <c r="AD14" s="40" t="str">
        <f t="shared" si="2"/>
        <v>Jueves</v>
      </c>
      <c r="AE14" s="661" t="str">
        <f>CONCATENATE(AE7,AD4)</f>
        <v>01/01/2024</v>
      </c>
      <c r="AF14" s="684"/>
      <c r="AG14" s="684"/>
      <c r="AH14" s="43"/>
      <c r="AI14" s="215">
        <f>MOD(AI17,7)</f>
        <v>1</v>
      </c>
      <c r="AJ14" s="43"/>
      <c r="AK14" s="643" t="str">
        <f>VLOOKUP(AI14,AK20:AM27,2)</f>
        <v>Lunes</v>
      </c>
      <c r="AL14" s="643"/>
      <c r="AM14" s="681">
        <f>SUM(AM11:AO13)</f>
        <v>738886</v>
      </c>
      <c r="AN14" s="681"/>
      <c r="AO14" s="643"/>
      <c r="AP14" s="397">
        <f>MOD(AM14,7)</f>
        <v>1</v>
      </c>
      <c r="AQ14" s="40"/>
      <c r="AR14" s="385" t="s">
        <v>507</v>
      </c>
      <c r="AT14" s="41"/>
      <c r="BI14" s="526">
        <f t="shared" si="0"/>
        <v>18</v>
      </c>
      <c r="BJ14" s="38">
        <v>2012</v>
      </c>
      <c r="BK14" s="526">
        <v>6</v>
      </c>
      <c r="BL14" s="1"/>
      <c r="BO14" s="526"/>
      <c r="BT14" s="391">
        <v>42462</v>
      </c>
      <c r="BU14" s="38">
        <v>3.37</v>
      </c>
    </row>
    <row r="15" spans="1:73" ht="12.75" customHeight="1" thickTop="1" thickBot="1">
      <c r="B15" s="680"/>
      <c r="C15" s="153">
        <f>IF(D15=" ",C14,C14+1)</f>
        <v>5</v>
      </c>
      <c r="D15" s="282" t="str">
        <f>IF(J14&lt;31,J14+1," ")</f>
        <v xml:space="preserve"> </v>
      </c>
      <c r="E15" s="282" t="str">
        <f>IF(D15&lt;31,D15+1," ")</f>
        <v xml:space="preserve"> </v>
      </c>
      <c r="F15" s="282" t="str">
        <f>IF(E15&lt;31,E15+1," ")</f>
        <v xml:space="preserve"> </v>
      </c>
      <c r="G15" s="282" t="str">
        <f>IF(F15&lt;31,F15+1," ")</f>
        <v xml:space="preserve"> </v>
      </c>
      <c r="H15" s="282" t="str">
        <f>IF(G15&lt;31,G15+1," ")</f>
        <v xml:space="preserve"> </v>
      </c>
      <c r="I15" s="282" t="str">
        <f>IF(H15&lt;31,H15+1," ")</f>
        <v xml:space="preserve"> </v>
      </c>
      <c r="J15" s="282" t="str">
        <f>IF(I15&lt;31,I15+1," ")</f>
        <v xml:space="preserve"> </v>
      </c>
      <c r="K15" s="71"/>
      <c r="L15" s="71"/>
      <c r="M15" s="54">
        <f>SUM(K10:K15)</f>
        <v>0</v>
      </c>
      <c r="N15" s="680"/>
      <c r="O15" s="155">
        <f>IF(P15=" ",O14,O14+1)</f>
        <v>31</v>
      </c>
      <c r="P15" s="282" t="str">
        <f>IF(V14&lt;31,V14+1," ")</f>
        <v xml:space="preserve"> </v>
      </c>
      <c r="Q15" s="282" t="str">
        <f t="shared" ref="Q15:V15" si="5">IF(P15&lt;31,P15+1," ")</f>
        <v xml:space="preserve"> </v>
      </c>
      <c r="R15" s="282" t="str">
        <f t="shared" si="5"/>
        <v xml:space="preserve"> </v>
      </c>
      <c r="S15" s="282" t="str">
        <f t="shared" si="5"/>
        <v xml:space="preserve"> </v>
      </c>
      <c r="T15" s="282" t="str">
        <f t="shared" si="5"/>
        <v xml:space="preserve"> </v>
      </c>
      <c r="U15" s="282" t="str">
        <f t="shared" si="5"/>
        <v xml:space="preserve"> </v>
      </c>
      <c r="V15" s="282" t="str">
        <f t="shared" si="5"/>
        <v xml:space="preserve"> </v>
      </c>
      <c r="W15" s="72"/>
      <c r="X15" s="72"/>
      <c r="Y15" s="54">
        <f>SUM(W10:W15)</f>
        <v>0</v>
      </c>
      <c r="Z15" s="629">
        <f>IF($AM$48=1,Z14+31,"01/09 ")</f>
        <v>45536</v>
      </c>
      <c r="AA15" s="630"/>
      <c r="AB15" s="48">
        <f>MOD(AB14+31,7)</f>
        <v>0</v>
      </c>
      <c r="AC15" s="43" t="str">
        <f t="shared" si="1"/>
        <v>Sep</v>
      </c>
      <c r="AD15" s="40" t="str">
        <f t="shared" si="2"/>
        <v>Domingo</v>
      </c>
      <c r="AE15" s="685">
        <f>IF(AM48=1,DATEVALUE(AE14)," ")</f>
        <v>45292</v>
      </c>
      <c r="AF15" s="686"/>
      <c r="AG15" s="686"/>
      <c r="AH15" s="43"/>
      <c r="AI15" s="43"/>
      <c r="AJ15" s="43"/>
      <c r="AK15" s="43"/>
      <c r="AL15" s="43"/>
      <c r="AM15" s="43"/>
      <c r="AN15" s="43"/>
      <c r="AO15" s="43"/>
      <c r="AQ15" s="40"/>
      <c r="AR15" s="385"/>
      <c r="AT15" s="41"/>
      <c r="AV15" s="58" t="s">
        <v>508</v>
      </c>
      <c r="BI15" s="526">
        <f t="shared" si="0"/>
        <v>19</v>
      </c>
      <c r="BJ15" s="38">
        <v>2013</v>
      </c>
      <c r="BK15" s="526">
        <v>17</v>
      </c>
      <c r="BL15" s="1"/>
      <c r="BO15" s="526"/>
      <c r="BT15" s="391">
        <v>42463</v>
      </c>
      <c r="BU15" s="38">
        <v>3.38</v>
      </c>
    </row>
    <row r="16" spans="1:73" ht="12.75" customHeight="1" thickTop="1">
      <c r="B16" s="678" t="s">
        <v>256</v>
      </c>
      <c r="C16" s="151">
        <f>IF(D16&lt;&gt;" ",C15+1,C15)</f>
        <v>5</v>
      </c>
      <c r="D16" s="278" t="str">
        <f>IF($AB$8=1,1," ")</f>
        <v xml:space="preserve"> </v>
      </c>
      <c r="E16" s="278" t="str">
        <f>IF($AB$8=2,1,IF(D16=1,D16+1," "))</f>
        <v xml:space="preserve"> </v>
      </c>
      <c r="F16" s="278" t="str">
        <f>IF($AB$8=3,1,IF(D16=1,D16+2,IF(E16=1,E16+1," ")))</f>
        <v xml:space="preserve"> </v>
      </c>
      <c r="G16" s="278">
        <f>IF($AB$8=4,1,IF($D16=1,$D16+3,IF($E16=1,$E16+2,IF($F16=1,$F16+1," "))))</f>
        <v>1</v>
      </c>
      <c r="H16" s="278">
        <f>IF($AB$8=5,1,IF($D16=1,$D16+4,IF($E16=1,$E16+3,IF($F16=1,$F16+2,IF($G16=1,$G16+1," ")))))</f>
        <v>2</v>
      </c>
      <c r="I16" s="278">
        <f>IF($AB$8=6,1,IF($D16=1,$D16+5,IF($E16=1,$E16+4,IF($F16=1,$F16+3,IF($G16=1,$G16+2,IF($H16=1,H16+1," "))))))</f>
        <v>3</v>
      </c>
      <c r="J16" s="279">
        <f>IF($AB$8=0,1,IF($D16=1,$D16+6,IF($E16=1,$E16+5,IF($F16=1,$F16+4,IF($G16=1,$G16+3,IF($H16=1,$H16+2,IF($I16=1,$I16+1," ")))))))</f>
        <v>4</v>
      </c>
      <c r="K16" s="69"/>
      <c r="L16" s="69"/>
      <c r="M16" s="62"/>
      <c r="N16" s="678" t="s">
        <v>261</v>
      </c>
      <c r="O16" s="151">
        <f>IF(P16&lt;&gt;" ",O15+1,O15)</f>
        <v>31</v>
      </c>
      <c r="P16" s="278" t="str">
        <f>IF($AB$14=1,1," ")</f>
        <v xml:space="preserve"> </v>
      </c>
      <c r="Q16" s="278" t="str">
        <f>IF($AB$14=2,1,IF(P16=1,P16+1," "))</f>
        <v xml:space="preserve"> </v>
      </c>
      <c r="R16" s="278" t="str">
        <f>IF($AB$14=3,1,IF(P16=1,P16+2,IF(Q16=1,Q16+1," ")))</f>
        <v xml:space="preserve"> </v>
      </c>
      <c r="S16" s="278">
        <f>IF($AB$14=4,1,IF($P16=1,$P16+3,IF($Q16=1,$Q16+2,IF($R16=1,$R16+1," "))))</f>
        <v>1</v>
      </c>
      <c r="T16" s="278">
        <f>IF($AB$14=5,1,IF($P16=1,$P16+4,IF($Q16=1,$Q16+3,IF($R16=1,$R16+2,IF($S16=1,$S16+1," ")))))</f>
        <v>2</v>
      </c>
      <c r="U16" s="278">
        <f>IF($AB$14=6,1,IF($P16=1,$P16+5,IF($Q16=1,$Q16+4,IF($R16=1,$R16+3,IF($S16=1,$S16+2,IF($T16=1,T16+1," "))))))</f>
        <v>3</v>
      </c>
      <c r="V16" s="279">
        <f>IF($AB$14=0,1,IF($P16=1,$P16+6,IF($Q16=1,$Q16+5,IF($R16=1,$R16+4,IF($S16=1,$S16+3,IF($T16=1,$T16+2,IF($U16=1,$U16+1," ")))))))</f>
        <v>4</v>
      </c>
      <c r="W16" s="73"/>
      <c r="X16" s="73"/>
      <c r="Y16" s="42"/>
      <c r="Z16" s="629">
        <f>IF($AM$48=1,Z15+30,"01/10 ")</f>
        <v>45566</v>
      </c>
      <c r="AA16" s="630"/>
      <c r="AB16" s="48">
        <f>MOD(AB15+30,7)</f>
        <v>2</v>
      </c>
      <c r="AC16" s="43" t="str">
        <f t="shared" si="1"/>
        <v>Oct</v>
      </c>
      <c r="AD16" s="40" t="str">
        <f t="shared" si="2"/>
        <v>Martes</v>
      </c>
      <c r="AE16" s="643"/>
      <c r="AF16" s="643"/>
      <c r="AG16" s="643"/>
      <c r="AH16" s="683" t="s">
        <v>509</v>
      </c>
      <c r="AI16" s="634"/>
      <c r="AJ16" s="634"/>
      <c r="AK16" s="634"/>
      <c r="AL16" s="634"/>
      <c r="AM16" s="634"/>
      <c r="AN16" s="634"/>
      <c r="AO16" s="634"/>
      <c r="AP16" s="634"/>
      <c r="AQ16" s="634"/>
      <c r="AT16" s="41"/>
      <c r="AU16" s="38" t="str">
        <f>MID(AU12,1,1)</f>
        <v>A</v>
      </c>
      <c r="AV16" s="58" t="s">
        <v>510</v>
      </c>
      <c r="BI16" s="526">
        <f t="shared" si="0"/>
        <v>1</v>
      </c>
      <c r="BJ16" s="38">
        <v>2014</v>
      </c>
      <c r="BK16" s="526">
        <v>29</v>
      </c>
      <c r="BL16" s="1"/>
      <c r="BO16" s="526"/>
      <c r="BT16" s="391">
        <v>42464</v>
      </c>
      <c r="BU16" s="38">
        <v>3.27</v>
      </c>
    </row>
    <row r="17" spans="2:73" ht="12.75" customHeight="1">
      <c r="B17" s="679"/>
      <c r="C17" s="152">
        <f>C16+1</f>
        <v>6</v>
      </c>
      <c r="D17" s="280">
        <f>J16+1</f>
        <v>5</v>
      </c>
      <c r="E17" s="280">
        <f t="shared" ref="E17:J19" si="6">D17+1</f>
        <v>6</v>
      </c>
      <c r="F17" s="280">
        <f t="shared" si="6"/>
        <v>7</v>
      </c>
      <c r="G17" s="280">
        <f t="shared" si="6"/>
        <v>8</v>
      </c>
      <c r="H17" s="280">
        <f t="shared" si="6"/>
        <v>9</v>
      </c>
      <c r="I17" s="280">
        <f t="shared" si="6"/>
        <v>10</v>
      </c>
      <c r="J17" s="281">
        <f t="shared" si="6"/>
        <v>11</v>
      </c>
      <c r="K17" s="70"/>
      <c r="L17" s="70"/>
      <c r="M17" s="62"/>
      <c r="N17" s="679"/>
      <c r="O17" s="152">
        <f>O16+1</f>
        <v>32</v>
      </c>
      <c r="P17" s="280">
        <f>V16+1</f>
        <v>5</v>
      </c>
      <c r="Q17" s="280">
        <f t="shared" ref="Q17:V19" si="7">P17+1</f>
        <v>6</v>
      </c>
      <c r="R17" s="280">
        <f t="shared" si="7"/>
        <v>7</v>
      </c>
      <c r="S17" s="280">
        <f t="shared" si="7"/>
        <v>8</v>
      </c>
      <c r="T17" s="280">
        <f t="shared" si="7"/>
        <v>9</v>
      </c>
      <c r="U17" s="280">
        <f t="shared" si="7"/>
        <v>10</v>
      </c>
      <c r="V17" s="281">
        <f t="shared" si="7"/>
        <v>11</v>
      </c>
      <c r="W17" s="70"/>
      <c r="X17" s="70"/>
      <c r="Y17" s="42"/>
      <c r="Z17" s="629">
        <f>IF($AM$48=1,Z16+31,"01/11 ")</f>
        <v>45597</v>
      </c>
      <c r="AA17" s="630"/>
      <c r="AB17" s="48">
        <f>IF(AD4+0&lt;&gt;1582,MOD(AB16+31,7),1)</f>
        <v>5</v>
      </c>
      <c r="AC17" s="43" t="str">
        <f t="shared" si="1"/>
        <v>Nov</v>
      </c>
      <c r="AD17" s="40" t="str">
        <f t="shared" si="2"/>
        <v>Viernes</v>
      </c>
      <c r="AE17" s="43" t="s">
        <v>408</v>
      </c>
      <c r="AF17" s="215">
        <f>MOD(AG17,7)+1</f>
        <v>3</v>
      </c>
      <c r="AG17" s="681">
        <f>(AG4-1)*365+INT((AG4-1)/4)-INT((AG4-1)/100)+INT((AG4-1)/400)+AH7-AE3</f>
        <v>738894</v>
      </c>
      <c r="AH17" s="682"/>
      <c r="AI17" s="253">
        <f>MOD((MOD(AF17,7)+5),7)</f>
        <v>1</v>
      </c>
      <c r="AJ17" s="643" t="s">
        <v>511</v>
      </c>
      <c r="AK17" s="638"/>
      <c r="AL17" s="638"/>
      <c r="AM17" s="638"/>
      <c r="AN17" s="203"/>
      <c r="AO17" s="47">
        <f>AD4</f>
        <v>2024</v>
      </c>
      <c r="AQ17" s="40"/>
      <c r="AT17" s="41"/>
      <c r="BI17" s="526">
        <f t="shared" si="0"/>
        <v>2</v>
      </c>
      <c r="BJ17" s="38">
        <v>2015</v>
      </c>
      <c r="BK17" s="526">
        <v>10</v>
      </c>
      <c r="BL17" s="1"/>
      <c r="BO17" s="526"/>
      <c r="BT17" s="391">
        <v>42465</v>
      </c>
      <c r="BU17" s="38">
        <v>3.38</v>
      </c>
    </row>
    <row r="18" spans="2:73" ht="12.75" customHeight="1">
      <c r="B18" s="679"/>
      <c r="C18" s="152">
        <f>C17+1</f>
        <v>7</v>
      </c>
      <c r="D18" s="280">
        <f>J17+1</f>
        <v>12</v>
      </c>
      <c r="E18" s="280">
        <f t="shared" si="6"/>
        <v>13</v>
      </c>
      <c r="F18" s="280">
        <f t="shared" si="6"/>
        <v>14</v>
      </c>
      <c r="G18" s="280">
        <f t="shared" si="6"/>
        <v>15</v>
      </c>
      <c r="H18" s="280">
        <f t="shared" si="6"/>
        <v>16</v>
      </c>
      <c r="I18" s="280">
        <f t="shared" si="6"/>
        <v>17</v>
      </c>
      <c r="J18" s="281">
        <f t="shared" si="6"/>
        <v>18</v>
      </c>
      <c r="K18" s="70"/>
      <c r="L18" s="70"/>
      <c r="M18" s="62"/>
      <c r="N18" s="679"/>
      <c r="O18" s="154">
        <f>O17+1</f>
        <v>33</v>
      </c>
      <c r="P18" s="280">
        <f>V17+1</f>
        <v>12</v>
      </c>
      <c r="Q18" s="280">
        <f t="shared" si="7"/>
        <v>13</v>
      </c>
      <c r="R18" s="280">
        <f t="shared" si="7"/>
        <v>14</v>
      </c>
      <c r="S18" s="280">
        <f t="shared" si="7"/>
        <v>15</v>
      </c>
      <c r="T18" s="280">
        <f t="shared" si="7"/>
        <v>16</v>
      </c>
      <c r="U18" s="280">
        <f t="shared" si="7"/>
        <v>17</v>
      </c>
      <c r="V18" s="281">
        <f t="shared" si="7"/>
        <v>18</v>
      </c>
      <c r="W18" s="70"/>
      <c r="X18" s="70"/>
      <c r="Y18" s="42"/>
      <c r="Z18" s="629">
        <f>IF($AM$48=1,Z17+30,"01/12 ")</f>
        <v>45627</v>
      </c>
      <c r="AA18" s="630"/>
      <c r="AB18" s="48">
        <f>MOD(AB17+30,7)</f>
        <v>0</v>
      </c>
      <c r="AC18" s="43" t="str">
        <f t="shared" si="1"/>
        <v>Dic</v>
      </c>
      <c r="AD18" s="40" t="str">
        <f t="shared" si="2"/>
        <v>Domingo</v>
      </c>
      <c r="AE18" s="43">
        <f>IF($I$12&gt;15,I12,I13)</f>
        <v>20</v>
      </c>
      <c r="AF18" s="43"/>
      <c r="AG18" s="43"/>
      <c r="AH18" s="43"/>
      <c r="AI18" s="43" t="str">
        <f>VLOOKUP(AI17,AK20:AM27,2)</f>
        <v>Lunes</v>
      </c>
      <c r="AJ18" s="43"/>
      <c r="AK18" s="43"/>
      <c r="AL18" s="43"/>
      <c r="AM18" s="43"/>
      <c r="AN18" s="43"/>
      <c r="AO18" s="43"/>
      <c r="AQ18" s="40"/>
      <c r="AT18" s="218"/>
      <c r="AV18" s="58" t="s">
        <v>512</v>
      </c>
      <c r="BC18" s="38" t="s">
        <v>513</v>
      </c>
      <c r="BE18" s="38" t="s">
        <v>514</v>
      </c>
      <c r="BI18" s="526">
        <f t="shared" si="0"/>
        <v>3</v>
      </c>
      <c r="BJ18" s="38">
        <v>2016</v>
      </c>
      <c r="BK18" s="526">
        <v>21</v>
      </c>
      <c r="BO18" s="526"/>
      <c r="BT18" s="391">
        <v>42466</v>
      </c>
      <c r="BU18" s="38">
        <v>3.33</v>
      </c>
    </row>
    <row r="19" spans="2:73" ht="12.75" customHeight="1">
      <c r="B19" s="679"/>
      <c r="C19" s="152">
        <f>C18+1</f>
        <v>8</v>
      </c>
      <c r="D19" s="280">
        <f>J18+1</f>
        <v>19</v>
      </c>
      <c r="E19" s="280">
        <f t="shared" si="6"/>
        <v>20</v>
      </c>
      <c r="F19" s="280">
        <f t="shared" si="6"/>
        <v>21</v>
      </c>
      <c r="G19" s="280">
        <f t="shared" si="6"/>
        <v>22</v>
      </c>
      <c r="H19" s="280">
        <f t="shared" si="6"/>
        <v>23</v>
      </c>
      <c r="I19" s="280">
        <f t="shared" si="6"/>
        <v>24</v>
      </c>
      <c r="J19" s="281">
        <f t="shared" si="6"/>
        <v>25</v>
      </c>
      <c r="K19" s="70"/>
      <c r="L19" s="70"/>
      <c r="M19" s="62"/>
      <c r="N19" s="679"/>
      <c r="O19" s="154">
        <f>O18+1</f>
        <v>34</v>
      </c>
      <c r="P19" s="280">
        <f>V18+1</f>
        <v>19</v>
      </c>
      <c r="Q19" s="280">
        <f t="shared" si="7"/>
        <v>20</v>
      </c>
      <c r="R19" s="280">
        <f t="shared" si="7"/>
        <v>21</v>
      </c>
      <c r="S19" s="280">
        <f t="shared" si="7"/>
        <v>22</v>
      </c>
      <c r="T19" s="280">
        <f t="shared" si="7"/>
        <v>23</v>
      </c>
      <c r="U19" s="280">
        <f t="shared" si="7"/>
        <v>24</v>
      </c>
      <c r="V19" s="281">
        <f t="shared" si="7"/>
        <v>25</v>
      </c>
      <c r="W19" s="75"/>
      <c r="X19" s="75"/>
      <c r="Y19" s="42"/>
      <c r="Z19" s="43"/>
      <c r="AA19" s="43"/>
      <c r="AB19" s="43"/>
      <c r="AC19" s="43">
        <f>IF($V$4+0&gt;1582,10,0)</f>
        <v>10</v>
      </c>
      <c r="AD19" s="43">
        <f>IF(AD4=1582,10,0)</f>
        <v>0</v>
      </c>
      <c r="AE19" s="43">
        <f>AE18+1</f>
        <v>21</v>
      </c>
      <c r="AF19" s="43"/>
      <c r="AG19" s="43"/>
      <c r="AH19" s="43"/>
      <c r="AI19" s="43"/>
      <c r="AJ19" s="43" t="s">
        <v>515</v>
      </c>
      <c r="AK19" s="43"/>
      <c r="AL19" s="43"/>
      <c r="AM19" s="43"/>
      <c r="AN19" s="43" t="s">
        <v>516</v>
      </c>
      <c r="AY19" s="38" t="s">
        <v>517</v>
      </c>
      <c r="BA19" s="38" t="s">
        <v>518</v>
      </c>
      <c r="BC19" s="38" t="s">
        <v>514</v>
      </c>
      <c r="BE19" s="38" t="s">
        <v>519</v>
      </c>
      <c r="BI19" s="526">
        <f t="shared" si="0"/>
        <v>4</v>
      </c>
      <c r="BJ19" s="38">
        <v>2017</v>
      </c>
      <c r="BK19" s="526">
        <v>2</v>
      </c>
      <c r="BO19" s="526"/>
      <c r="BT19" s="391">
        <v>42467</v>
      </c>
      <c r="BU19" s="38">
        <v>3.33</v>
      </c>
    </row>
    <row r="20" spans="2:73" ht="12.75" customHeight="1" thickBot="1">
      <c r="B20" s="679"/>
      <c r="C20" s="154">
        <f>IF(D20=" ",C19,C19+1)</f>
        <v>9</v>
      </c>
      <c r="D20" s="284">
        <f>IF(AND(J19&lt;29,AH11=1),J19+1,IF(J19&lt;28,J19+1," "))</f>
        <v>26</v>
      </c>
      <c r="E20" s="284">
        <f>IF(AND(D20&lt;29,AH11=1),D20+1,IF(D20&lt;28,D20+1," "))</f>
        <v>27</v>
      </c>
      <c r="F20" s="284">
        <f>IF(AND(E20&lt;29,AH11=1),E20+1,IF(E20&lt;28,E20+1," "))</f>
        <v>28</v>
      </c>
      <c r="G20" s="284">
        <f>IF(AND(F20&lt;29,AH11=1),F20+1,IF(F20&lt;28,F20+1," "))</f>
        <v>29</v>
      </c>
      <c r="H20" s="284" t="str">
        <f>IF(AND(G20&lt;29,AH11=1),G20+1,IF(G20&lt;28,G20+1," "))</f>
        <v xml:space="preserve"> </v>
      </c>
      <c r="I20" s="284" t="str">
        <f>IF(AND(H20&lt;29,AH11=1),H20+1,IF(H20&lt;28,H20+1," "))</f>
        <v xml:space="preserve"> </v>
      </c>
      <c r="J20" s="285" t="str">
        <f>IF(AND(I20&lt;29,AH11=1),I20+1,IF(I20&lt;28,I20+1," "))</f>
        <v xml:space="preserve"> </v>
      </c>
      <c r="K20" s="70"/>
      <c r="L20" s="70"/>
      <c r="M20" s="62"/>
      <c r="N20" s="679"/>
      <c r="O20" s="154">
        <f>O19+1</f>
        <v>35</v>
      </c>
      <c r="P20" s="284">
        <f>V19+1</f>
        <v>26</v>
      </c>
      <c r="Q20" s="284">
        <f>P20+1</f>
        <v>27</v>
      </c>
      <c r="R20" s="284">
        <f>IF(Q20&lt;31,Q20+1," ")</f>
        <v>28</v>
      </c>
      <c r="S20" s="284">
        <f>IF(Q20&lt;30,Q20+2," ")</f>
        <v>29</v>
      </c>
      <c r="T20" s="284">
        <f>IF(Q20&lt;29,Q20+3," ")</f>
        <v>30</v>
      </c>
      <c r="U20" s="284">
        <f>IF(Q20&lt;28,Q20+4," ")</f>
        <v>31</v>
      </c>
      <c r="V20" s="285" t="str">
        <f>IF(Q20&lt;27,Q20+5," ")</f>
        <v xml:space="preserve"> </v>
      </c>
      <c r="W20" s="74"/>
      <c r="X20" s="74"/>
      <c r="Z20" s="643" t="s">
        <v>213</v>
      </c>
      <c r="AA20" s="644"/>
      <c r="AB20" s="644"/>
      <c r="AC20" s="644"/>
      <c r="AD20" s="43"/>
      <c r="AE20" s="43"/>
      <c r="AF20" s="43"/>
      <c r="AG20" s="43"/>
      <c r="AH20" s="43"/>
      <c r="AI20" s="43" t="s">
        <v>520</v>
      </c>
      <c r="AJ20" s="43">
        <v>1</v>
      </c>
      <c r="AK20" s="43">
        <v>0</v>
      </c>
      <c r="AL20" s="44" t="s">
        <v>279</v>
      </c>
      <c r="AM20" s="43"/>
      <c r="AN20" s="217">
        <v>1</v>
      </c>
      <c r="AO20" s="40">
        <v>0</v>
      </c>
      <c r="AP20" s="40">
        <v>0</v>
      </c>
      <c r="AQ20" s="41">
        <v>0</v>
      </c>
      <c r="AR20" s="41">
        <v>0</v>
      </c>
      <c r="AS20" s="41">
        <v>0</v>
      </c>
      <c r="BE20" s="391">
        <v>42451</v>
      </c>
      <c r="BI20" s="526">
        <f t="shared" si="0"/>
        <v>5</v>
      </c>
      <c r="BJ20" s="38">
        <v>2018</v>
      </c>
      <c r="BK20" s="526">
        <v>13</v>
      </c>
      <c r="BO20" s="526"/>
      <c r="BT20" s="391">
        <v>42468</v>
      </c>
      <c r="BU20" s="38">
        <v>3.38</v>
      </c>
    </row>
    <row r="21" spans="2:73" ht="12.75" customHeight="1" thickTop="1" thickBot="1">
      <c r="B21" s="680"/>
      <c r="C21" s="154">
        <f>C20</f>
        <v>9</v>
      </c>
      <c r="D21" s="282" t="str">
        <f>" "</f>
        <v xml:space="preserve"> </v>
      </c>
      <c r="E21" s="282" t="str">
        <f t="shared" ref="E21:J21" si="8">" "</f>
        <v xml:space="preserve"> </v>
      </c>
      <c r="F21" s="282" t="str">
        <f t="shared" si="8"/>
        <v xml:space="preserve"> </v>
      </c>
      <c r="G21" s="282" t="str">
        <f t="shared" si="8"/>
        <v xml:space="preserve"> </v>
      </c>
      <c r="H21" s="282" t="str">
        <f t="shared" si="8"/>
        <v xml:space="preserve"> </v>
      </c>
      <c r="I21" s="282" t="str">
        <f t="shared" si="8"/>
        <v xml:space="preserve"> </v>
      </c>
      <c r="J21" s="282" t="str">
        <f t="shared" si="8"/>
        <v xml:space="preserve"> </v>
      </c>
      <c r="K21" s="72"/>
      <c r="L21" s="72"/>
      <c r="M21" s="54">
        <f>SUM(K16:K21)</f>
        <v>0</v>
      </c>
      <c r="N21" s="680"/>
      <c r="O21" s="155">
        <f>IF(P21=" ",O20,O20+1)</f>
        <v>35</v>
      </c>
      <c r="P21" s="282" t="str">
        <f>IF(V20&lt;31,V20+1," ")</f>
        <v xml:space="preserve"> </v>
      </c>
      <c r="Q21" s="282" t="str">
        <f>IF(P21&lt;31,P21+1," ")</f>
        <v xml:space="preserve"> </v>
      </c>
      <c r="R21" s="282" t="str">
        <f>IF(Q21&lt;31,Q21+1," ")</f>
        <v xml:space="preserve"> </v>
      </c>
      <c r="S21" s="282" t="str">
        <f>IF(R21&lt;31,R21+1," ")</f>
        <v xml:space="preserve"> </v>
      </c>
      <c r="T21" s="282" t="str">
        <f>IF(S21&lt;31,S21+1," ")</f>
        <v xml:space="preserve"> </v>
      </c>
      <c r="U21" s="282" t="str">
        <f>IF(T21&lt;31,T21+1," ")</f>
        <v xml:space="preserve"> </v>
      </c>
      <c r="V21" s="282" t="str">
        <f>IF(U21&lt;31,U21+1," ")</f>
        <v xml:space="preserve"> </v>
      </c>
      <c r="W21" s="72"/>
      <c r="X21" s="72"/>
      <c r="Y21" s="54">
        <f>SUM(W16:W21)</f>
        <v>0</v>
      </c>
      <c r="Z21" s="643" t="s">
        <v>217</v>
      </c>
      <c r="AA21" s="644"/>
      <c r="AB21" s="644"/>
      <c r="AC21" s="644"/>
      <c r="AD21" s="43"/>
      <c r="AE21" s="43" t="s">
        <v>214</v>
      </c>
      <c r="AF21" s="43">
        <f>IF(AND(AG4+0&gt;1899,AG4+0&lt;10000),AG4,AG6)</f>
        <v>2024</v>
      </c>
      <c r="AG21" s="43"/>
      <c r="AH21" s="43" t="s">
        <v>215</v>
      </c>
      <c r="AI21" s="43">
        <f ca="1">DAY(Z4)</f>
        <v>30</v>
      </c>
      <c r="AJ21" s="43">
        <v>2</v>
      </c>
      <c r="AK21" s="43">
        <v>1</v>
      </c>
      <c r="AL21" s="44" t="s">
        <v>280</v>
      </c>
      <c r="AM21" s="43"/>
      <c r="AN21" s="218">
        <v>2</v>
      </c>
      <c r="AO21" s="40">
        <v>1</v>
      </c>
      <c r="AP21" s="40">
        <v>31</v>
      </c>
      <c r="AQ21" s="40">
        <f>AP21+AQ20</f>
        <v>31</v>
      </c>
      <c r="AR21" s="40">
        <v>31</v>
      </c>
      <c r="AS21" s="40">
        <f>AR21+AS20</f>
        <v>31</v>
      </c>
      <c r="AT21" s="43" t="s">
        <v>521</v>
      </c>
      <c r="AU21" s="398">
        <f>DATE($V$4,$AO21,1)</f>
        <v>45292</v>
      </c>
      <c r="AV21" s="399">
        <f>DATE($V$4,$AO21,1)</f>
        <v>45292</v>
      </c>
      <c r="AW21" s="38">
        <f>WEEKDAY(AV21)</f>
        <v>2</v>
      </c>
      <c r="AX21" s="38">
        <f>AW21-1</f>
        <v>1</v>
      </c>
      <c r="AY21" s="38">
        <v>1</v>
      </c>
      <c r="BA21" s="38">
        <v>1</v>
      </c>
      <c r="BC21" s="38">
        <v>0</v>
      </c>
      <c r="BE21" s="38">
        <f>BC21+8</f>
        <v>8</v>
      </c>
      <c r="BT21" s="391">
        <v>42469</v>
      </c>
      <c r="BU21" s="38">
        <v>3.27</v>
      </c>
    </row>
    <row r="22" spans="2:73" ht="12.75" customHeight="1" thickTop="1">
      <c r="B22" s="678" t="s">
        <v>257</v>
      </c>
      <c r="C22" s="151">
        <f>IF(D22&lt;&gt;" ",C21+1,C21)</f>
        <v>9</v>
      </c>
      <c r="D22" s="278" t="str">
        <f>IF($AB$9=1,1," ")</f>
        <v xml:space="preserve"> </v>
      </c>
      <c r="E22" s="278" t="str">
        <f>IF($AB$9=2,1,IF(D22=1,D22+1," "))</f>
        <v xml:space="preserve"> </v>
      </c>
      <c r="F22" s="278" t="str">
        <f>IF($AB$9=3,1,IF(D22=1,D22+2,IF(E22=1,E22+1," ")))</f>
        <v xml:space="preserve"> </v>
      </c>
      <c r="G22" s="278" t="str">
        <f>IF($AB$9=4,1,IF($D22=1,$D22+3,IF($E22=1,$E22+2,IF($F22=1,$F22+1," "))))</f>
        <v xml:space="preserve"> </v>
      </c>
      <c r="H22" s="278">
        <f>IF($AB$9=5,1,IF($D22=1,$D22+4,IF($E22=1,$E22+3,IF($F22=1,$F22+2,IF($G22=1,$G22+1," ")))))</f>
        <v>1</v>
      </c>
      <c r="I22" s="278">
        <f>IF($AB$9=6,1,IF($D22=1,$D22+5,IF($E22=1,$E22+4,IF($F22=1,$F22+3,IF($G22=1,$G22+2,IF($H22=1,H22+1," "))))))</f>
        <v>2</v>
      </c>
      <c r="J22" s="279">
        <f>IF($AB$9=0,1,IF($D22=1,$D22+6,IF($E22=1,$E22+5,IF($F22=1,$F22+4,IF($G22=1,$G22+3,IF($H22=1,$H22+2,IF($I22=1,$I22+1," ")))))))</f>
        <v>3</v>
      </c>
      <c r="K22" s="73"/>
      <c r="L22" s="73"/>
      <c r="M22" s="62"/>
      <c r="N22" s="678" t="s">
        <v>262</v>
      </c>
      <c r="O22" s="151">
        <f>IF(P22&lt;&gt;" ",O21+1,O21)</f>
        <v>35</v>
      </c>
      <c r="P22" s="278" t="str">
        <f>IF($AB$15=1,1," ")</f>
        <v xml:space="preserve"> </v>
      </c>
      <c r="Q22" s="278" t="str">
        <f>IF($AB$15=2,1,IF(P22=1,P22+1," "))</f>
        <v xml:space="preserve"> </v>
      </c>
      <c r="R22" s="278" t="str">
        <f>IF(AB15=3,1,IF(P22=1,P22+2,IF(Q22=1,Q22+1," ")))</f>
        <v xml:space="preserve"> </v>
      </c>
      <c r="S22" s="278" t="str">
        <f>IF($AB$15=4,1,IF($P22=1,$P22+3,IF($Q22=1,$Q22+2,IF($R22=1,$R22+1," "))))</f>
        <v xml:space="preserve"> </v>
      </c>
      <c r="T22" s="278" t="str">
        <f>IF($AB$15=5,1,IF($P22=1,$P22+4,IF($Q22=1,$Q22+3,IF($R22=1,$R22+2,IF($S22=1,$S22+1," ")))))</f>
        <v xml:space="preserve"> </v>
      </c>
      <c r="U22" s="278" t="str">
        <f>IF($AB$15=6,1,IF($P22=1,$P22+5,IF($Q22=1,$Q22+4,IF($R22=1,$R22+3,IF($S22=1,$S22+2,IF($T22=1,T22+1," "))))))</f>
        <v xml:space="preserve"> </v>
      </c>
      <c r="V22" s="279">
        <f>IF($AB$15=0,1,IF($P22=1,$P22+6,IF($Q22=1,$Q22+5,IF($R22=1,$R22+4,IF($S22=1,$S22+3,IF($T22=1,$T22+2,IF($U22=1,$U22+1," ")))))))</f>
        <v>1</v>
      </c>
      <c r="W22" s="73"/>
      <c r="X22" s="73"/>
      <c r="Y22" s="42"/>
      <c r="Z22" s="643" t="s">
        <v>106</v>
      </c>
      <c r="AA22" s="644"/>
      <c r="AB22" s="644"/>
      <c r="AC22" s="644"/>
      <c r="AD22" s="43"/>
      <c r="AE22" s="43"/>
      <c r="AF22" s="43"/>
      <c r="AG22" s="43"/>
      <c r="AH22" s="43" t="s">
        <v>216</v>
      </c>
      <c r="AI22" s="43">
        <f ca="1">MONTH(Z4)</f>
        <v>3</v>
      </c>
      <c r="AJ22" s="43">
        <v>3</v>
      </c>
      <c r="AK22" s="43">
        <v>2</v>
      </c>
      <c r="AL22" s="44" t="s">
        <v>281</v>
      </c>
      <c r="AM22" s="43"/>
      <c r="AN22" s="217">
        <v>3</v>
      </c>
      <c r="AO22" s="40">
        <v>2</v>
      </c>
      <c r="AP22" s="40">
        <v>28</v>
      </c>
      <c r="AQ22" s="40">
        <f>AP22+AQ21</f>
        <v>59</v>
      </c>
      <c r="AR22" s="40">
        <v>29</v>
      </c>
      <c r="AS22" s="40">
        <f>AR22+AS21</f>
        <v>60</v>
      </c>
      <c r="AT22" s="43" t="s">
        <v>522</v>
      </c>
      <c r="AU22" s="398">
        <f t="shared" ref="AU22:AV32" si="9">DATE($V$4,$AO22,1)</f>
        <v>45323</v>
      </c>
      <c r="AV22" s="399">
        <f t="shared" si="9"/>
        <v>45323</v>
      </c>
      <c r="AW22" s="38">
        <f t="shared" ref="AW22:AW32" si="10">WEEKDAY(AV22)</f>
        <v>5</v>
      </c>
      <c r="AX22" s="38">
        <f t="shared" ref="AX22:AX32" si="11">AW22-1</f>
        <v>4</v>
      </c>
      <c r="AY22" s="38">
        <v>4</v>
      </c>
      <c r="BA22" s="38">
        <v>4</v>
      </c>
      <c r="BC22" s="38">
        <v>1</v>
      </c>
      <c r="BE22" s="38">
        <f t="shared" ref="BE22:BE32" si="12">BC22+8</f>
        <v>9</v>
      </c>
      <c r="BT22" s="391">
        <v>42470</v>
      </c>
      <c r="BU22" s="38">
        <v>3.83</v>
      </c>
    </row>
    <row r="23" spans="2:73" ht="12.75" customHeight="1">
      <c r="B23" s="679"/>
      <c r="C23" s="152">
        <f>C22+1</f>
        <v>10</v>
      </c>
      <c r="D23" s="280">
        <f>J22+1</f>
        <v>4</v>
      </c>
      <c r="E23" s="280">
        <f t="shared" ref="E23:J25" si="13">D23+1</f>
        <v>5</v>
      </c>
      <c r="F23" s="280">
        <f t="shared" si="13"/>
        <v>6</v>
      </c>
      <c r="G23" s="280">
        <f t="shared" si="13"/>
        <v>7</v>
      </c>
      <c r="H23" s="280">
        <f t="shared" si="13"/>
        <v>8</v>
      </c>
      <c r="I23" s="280">
        <f t="shared" si="13"/>
        <v>9</v>
      </c>
      <c r="J23" s="281">
        <f t="shared" si="13"/>
        <v>10</v>
      </c>
      <c r="K23" s="70"/>
      <c r="L23" s="70"/>
      <c r="M23" s="62"/>
      <c r="N23" s="679"/>
      <c r="O23" s="156">
        <f>O22+1</f>
        <v>36</v>
      </c>
      <c r="P23" s="280">
        <f>V22+1</f>
        <v>2</v>
      </c>
      <c r="Q23" s="280">
        <f t="shared" ref="Q23:V25" si="14">P23+1</f>
        <v>3</v>
      </c>
      <c r="R23" s="280">
        <f t="shared" si="14"/>
        <v>4</v>
      </c>
      <c r="S23" s="280">
        <f t="shared" si="14"/>
        <v>5</v>
      </c>
      <c r="T23" s="280">
        <f t="shared" si="14"/>
        <v>6</v>
      </c>
      <c r="U23" s="280">
        <f t="shared" si="14"/>
        <v>7</v>
      </c>
      <c r="V23" s="281">
        <f t="shared" si="14"/>
        <v>8</v>
      </c>
      <c r="W23" s="70"/>
      <c r="X23" s="70"/>
      <c r="Y23" s="42"/>
      <c r="Z23" s="643" t="s">
        <v>221</v>
      </c>
      <c r="AA23" s="644"/>
      <c r="AB23" s="644"/>
      <c r="AC23" s="644"/>
      <c r="AD23" s="43"/>
      <c r="AE23" s="43"/>
      <c r="AF23" s="43"/>
      <c r="AG23" s="43"/>
      <c r="AH23" s="43" t="s">
        <v>216</v>
      </c>
      <c r="AI23" s="43">
        <f ca="1">IF(AND(AI21&gt;5,AI24=0),AI22,IF(AI24&gt;0,AI24,AI22-1))</f>
        <v>3</v>
      </c>
      <c r="AJ23" s="43">
        <v>4</v>
      </c>
      <c r="AK23" s="43">
        <v>3</v>
      </c>
      <c r="AL23" s="44" t="s">
        <v>282</v>
      </c>
      <c r="AM23" s="43"/>
      <c r="AN23" s="218">
        <v>4</v>
      </c>
      <c r="AO23" s="40">
        <v>3</v>
      </c>
      <c r="AP23" s="40">
        <v>31</v>
      </c>
      <c r="AQ23" s="40">
        <f t="shared" ref="AQ23:AQ32" si="15">AP23+AQ22</f>
        <v>90</v>
      </c>
      <c r="AR23" s="40">
        <v>31</v>
      </c>
      <c r="AS23" s="40">
        <f t="shared" ref="AS23:AS32" si="16">AR23+AS22</f>
        <v>91</v>
      </c>
      <c r="AT23" s="43" t="s">
        <v>292</v>
      </c>
      <c r="AU23" s="398">
        <f t="shared" si="9"/>
        <v>45352</v>
      </c>
      <c r="AV23" s="399">
        <f t="shared" si="9"/>
        <v>45352</v>
      </c>
      <c r="AW23" s="38">
        <f t="shared" si="10"/>
        <v>6</v>
      </c>
      <c r="AX23" s="38">
        <f t="shared" si="11"/>
        <v>5</v>
      </c>
      <c r="AY23" s="38">
        <v>4</v>
      </c>
      <c r="BA23" s="38">
        <v>5</v>
      </c>
      <c r="BC23" s="38">
        <v>0</v>
      </c>
      <c r="BE23" s="38">
        <f t="shared" si="12"/>
        <v>8</v>
      </c>
      <c r="BT23" s="391">
        <v>42471</v>
      </c>
      <c r="BU23" s="38">
        <v>3.27</v>
      </c>
    </row>
    <row r="24" spans="2:73" ht="12.75" customHeight="1">
      <c r="B24" s="679"/>
      <c r="C24" s="152">
        <f>C23+1</f>
        <v>11</v>
      </c>
      <c r="D24" s="280">
        <f>J23+1</f>
        <v>11</v>
      </c>
      <c r="E24" s="280">
        <f t="shared" si="13"/>
        <v>12</v>
      </c>
      <c r="F24" s="280">
        <f t="shared" si="13"/>
        <v>13</v>
      </c>
      <c r="G24" s="280">
        <f t="shared" si="13"/>
        <v>14</v>
      </c>
      <c r="H24" s="280">
        <f t="shared" si="13"/>
        <v>15</v>
      </c>
      <c r="I24" s="280">
        <f t="shared" si="13"/>
        <v>16</v>
      </c>
      <c r="J24" s="281">
        <f t="shared" si="13"/>
        <v>17</v>
      </c>
      <c r="K24" s="70"/>
      <c r="L24" s="70"/>
      <c r="M24" s="62"/>
      <c r="N24" s="679"/>
      <c r="O24" s="152">
        <f>O23+1</f>
        <v>37</v>
      </c>
      <c r="P24" s="280">
        <f>V23+1</f>
        <v>9</v>
      </c>
      <c r="Q24" s="280">
        <f t="shared" si="14"/>
        <v>10</v>
      </c>
      <c r="R24" s="280">
        <f t="shared" si="14"/>
        <v>11</v>
      </c>
      <c r="S24" s="280">
        <f t="shared" si="14"/>
        <v>12</v>
      </c>
      <c r="T24" s="280">
        <f t="shared" si="14"/>
        <v>13</v>
      </c>
      <c r="U24" s="280">
        <f t="shared" si="14"/>
        <v>14</v>
      </c>
      <c r="V24" s="281">
        <f t="shared" si="14"/>
        <v>15</v>
      </c>
      <c r="W24" s="70"/>
      <c r="X24" s="70"/>
      <c r="Y24" s="42"/>
      <c r="Z24" s="643" t="s">
        <v>224</v>
      </c>
      <c r="AA24" s="644"/>
      <c r="AB24" s="644"/>
      <c r="AC24" s="644"/>
      <c r="AD24" s="43"/>
      <c r="AE24" s="43" t="s">
        <v>218</v>
      </c>
      <c r="AF24" s="47">
        <f>MOD(AD4,19)</f>
        <v>10</v>
      </c>
      <c r="AG24" s="55" t="s">
        <v>219</v>
      </c>
      <c r="AH24" s="56"/>
      <c r="AI24" s="57"/>
      <c r="AJ24" s="43">
        <v>5</v>
      </c>
      <c r="AK24" s="43">
        <v>4</v>
      </c>
      <c r="AL24" s="44" t="s">
        <v>283</v>
      </c>
      <c r="AM24" s="43"/>
      <c r="AN24" s="217">
        <v>5</v>
      </c>
      <c r="AO24" s="40">
        <v>4</v>
      </c>
      <c r="AP24" s="40">
        <v>30</v>
      </c>
      <c r="AQ24" s="40">
        <f t="shared" si="15"/>
        <v>120</v>
      </c>
      <c r="AR24" s="40">
        <v>30</v>
      </c>
      <c r="AS24" s="40">
        <f t="shared" si="16"/>
        <v>121</v>
      </c>
      <c r="AT24" s="43" t="s">
        <v>294</v>
      </c>
      <c r="AU24" s="398">
        <f t="shared" si="9"/>
        <v>45383</v>
      </c>
      <c r="AV24" s="399">
        <f t="shared" si="9"/>
        <v>45383</v>
      </c>
      <c r="AW24" s="38">
        <f t="shared" si="10"/>
        <v>2</v>
      </c>
      <c r="AX24" s="38">
        <f t="shared" si="11"/>
        <v>1</v>
      </c>
      <c r="AY24" s="38">
        <v>0</v>
      </c>
      <c r="BA24" s="38">
        <v>1</v>
      </c>
      <c r="BC24" s="38">
        <v>1</v>
      </c>
      <c r="BE24" s="38">
        <f t="shared" si="12"/>
        <v>9</v>
      </c>
      <c r="BT24" s="391">
        <v>42472</v>
      </c>
      <c r="BU24" s="38">
        <v>3.83</v>
      </c>
    </row>
    <row r="25" spans="2:73" ht="12.75" customHeight="1">
      <c r="B25" s="679"/>
      <c r="C25" s="152">
        <f>C24+1</f>
        <v>12</v>
      </c>
      <c r="D25" s="280">
        <f>J24+1</f>
        <v>18</v>
      </c>
      <c r="E25" s="280">
        <f t="shared" si="13"/>
        <v>19</v>
      </c>
      <c r="F25" s="280">
        <f t="shared" si="13"/>
        <v>20</v>
      </c>
      <c r="G25" s="280">
        <f t="shared" si="13"/>
        <v>21</v>
      </c>
      <c r="H25" s="280">
        <f t="shared" si="13"/>
        <v>22</v>
      </c>
      <c r="I25" s="280">
        <f t="shared" si="13"/>
        <v>23</v>
      </c>
      <c r="J25" s="281">
        <f t="shared" si="13"/>
        <v>24</v>
      </c>
      <c r="K25" s="70"/>
      <c r="L25" s="70"/>
      <c r="M25" s="62"/>
      <c r="N25" s="679"/>
      <c r="O25" s="152">
        <f>O24+1</f>
        <v>38</v>
      </c>
      <c r="P25" s="280">
        <f>V24+1</f>
        <v>16</v>
      </c>
      <c r="Q25" s="280">
        <f t="shared" si="14"/>
        <v>17</v>
      </c>
      <c r="R25" s="280">
        <f t="shared" si="14"/>
        <v>18</v>
      </c>
      <c r="S25" s="280">
        <f t="shared" si="14"/>
        <v>19</v>
      </c>
      <c r="T25" s="280">
        <f t="shared" si="14"/>
        <v>20</v>
      </c>
      <c r="U25" s="280">
        <f t="shared" si="14"/>
        <v>21</v>
      </c>
      <c r="V25" s="281">
        <f t="shared" si="14"/>
        <v>22</v>
      </c>
      <c r="W25" s="70"/>
      <c r="X25" s="70"/>
      <c r="Y25" s="42"/>
      <c r="Z25" s="643" t="s">
        <v>226</v>
      </c>
      <c r="AA25" s="643"/>
      <c r="AB25" s="643"/>
      <c r="AC25" s="643"/>
      <c r="AD25" s="43"/>
      <c r="AE25" s="43" t="s">
        <v>220</v>
      </c>
      <c r="AF25" s="47">
        <f>MOD(AD4,4)</f>
        <v>0</v>
      </c>
      <c r="AG25" s="56"/>
      <c r="AH25" s="56"/>
      <c r="AI25" s="43"/>
      <c r="AJ25" s="43">
        <v>6</v>
      </c>
      <c r="AK25" s="43">
        <v>5</v>
      </c>
      <c r="AL25" s="44" t="s">
        <v>284</v>
      </c>
      <c r="AM25" s="43"/>
      <c r="AN25" s="218">
        <v>6</v>
      </c>
      <c r="AO25" s="40">
        <v>5</v>
      </c>
      <c r="AP25" s="40">
        <v>31</v>
      </c>
      <c r="AQ25" s="40">
        <f t="shared" si="15"/>
        <v>151</v>
      </c>
      <c r="AR25" s="40">
        <v>31</v>
      </c>
      <c r="AS25" s="40">
        <f t="shared" si="16"/>
        <v>152</v>
      </c>
      <c r="AT25" s="43" t="s">
        <v>296</v>
      </c>
      <c r="AU25" s="398">
        <f t="shared" si="9"/>
        <v>45413</v>
      </c>
      <c r="AV25" s="399">
        <f t="shared" si="9"/>
        <v>45413</v>
      </c>
      <c r="AW25" s="38">
        <f t="shared" si="10"/>
        <v>4</v>
      </c>
      <c r="AX25" s="38">
        <f t="shared" si="11"/>
        <v>3</v>
      </c>
      <c r="AY25" s="38">
        <v>2</v>
      </c>
      <c r="BA25" s="38">
        <v>3</v>
      </c>
      <c r="BC25" s="38">
        <v>2</v>
      </c>
      <c r="BE25" s="38">
        <f t="shared" si="12"/>
        <v>10</v>
      </c>
      <c r="BT25" s="391">
        <v>42473</v>
      </c>
      <c r="BU25" s="38">
        <v>3.33</v>
      </c>
    </row>
    <row r="26" spans="2:73" ht="12.75" customHeight="1" thickBot="1">
      <c r="B26" s="679"/>
      <c r="C26" s="154">
        <f>C25+1</f>
        <v>13</v>
      </c>
      <c r="D26" s="280">
        <f>J25+1</f>
        <v>25</v>
      </c>
      <c r="E26" s="280">
        <f>D26+1</f>
        <v>26</v>
      </c>
      <c r="F26" s="280">
        <f>IF(E26&lt;31,E26+1," ")</f>
        <v>27</v>
      </c>
      <c r="G26" s="280">
        <f>IF(E26&lt;30,E26+2," ")</f>
        <v>28</v>
      </c>
      <c r="H26" s="280">
        <f>IF(E26&lt;29,E26+3," ")</f>
        <v>29</v>
      </c>
      <c r="I26" s="280">
        <f>IF(E26&lt;28,E26+4," ")</f>
        <v>30</v>
      </c>
      <c r="J26" s="281">
        <f>IF(E26&lt;27,E26+5," ")</f>
        <v>31</v>
      </c>
      <c r="K26" s="74"/>
      <c r="L26" s="74"/>
      <c r="M26" s="62"/>
      <c r="N26" s="679"/>
      <c r="O26" s="152">
        <f>O25+1</f>
        <v>39</v>
      </c>
      <c r="P26" s="284">
        <f>V25+1</f>
        <v>23</v>
      </c>
      <c r="Q26" s="284">
        <f>P26+1</f>
        <v>24</v>
      </c>
      <c r="R26" s="284">
        <f>IF(Q26&lt;30,Q26+1," ")</f>
        <v>25</v>
      </c>
      <c r="S26" s="284">
        <f>IF(Q26&lt;29,Q26+2," ")</f>
        <v>26</v>
      </c>
      <c r="T26" s="284">
        <f>IF(Q26&lt;28,Q26+3," ")</f>
        <v>27</v>
      </c>
      <c r="U26" s="284">
        <f>IF(Q26&lt;27,Q26+4," ")</f>
        <v>28</v>
      </c>
      <c r="V26" s="285">
        <f>IF(Q26&lt;26,Q26+5," ")</f>
        <v>29</v>
      </c>
      <c r="W26" s="74"/>
      <c r="X26" s="74"/>
      <c r="Z26" s="643" t="s">
        <v>523</v>
      </c>
      <c r="AA26" s="643"/>
      <c r="AB26" s="643"/>
      <c r="AC26" s="643"/>
      <c r="AD26" s="43"/>
      <c r="AE26" s="43" t="s">
        <v>222</v>
      </c>
      <c r="AF26" s="47">
        <f>MOD(AD$4,7)</f>
        <v>1</v>
      </c>
      <c r="AG26" s="56"/>
      <c r="AH26" s="56"/>
      <c r="AI26" s="43"/>
      <c r="AJ26" s="43">
        <v>7</v>
      </c>
      <c r="AK26" s="43">
        <v>6</v>
      </c>
      <c r="AL26" s="44" t="s">
        <v>285</v>
      </c>
      <c r="AM26" s="43"/>
      <c r="AN26" s="217">
        <v>7</v>
      </c>
      <c r="AO26" s="40">
        <v>6</v>
      </c>
      <c r="AP26" s="40">
        <v>30</v>
      </c>
      <c r="AQ26" s="40">
        <f t="shared" si="15"/>
        <v>181</v>
      </c>
      <c r="AR26" s="40">
        <v>30</v>
      </c>
      <c r="AS26" s="40">
        <f t="shared" si="16"/>
        <v>182</v>
      </c>
      <c r="AT26" s="43" t="s">
        <v>298</v>
      </c>
      <c r="AU26" s="398">
        <f t="shared" si="9"/>
        <v>45444</v>
      </c>
      <c r="AV26" s="399">
        <f t="shared" si="9"/>
        <v>45444</v>
      </c>
      <c r="AW26" s="38">
        <f t="shared" si="10"/>
        <v>7</v>
      </c>
      <c r="AX26" s="38">
        <f t="shared" si="11"/>
        <v>6</v>
      </c>
      <c r="AY26" s="38">
        <v>5</v>
      </c>
      <c r="BA26" s="38">
        <v>6</v>
      </c>
      <c r="BC26" s="38">
        <v>3</v>
      </c>
      <c r="BE26" s="38">
        <f t="shared" si="12"/>
        <v>11</v>
      </c>
      <c r="BT26" s="391">
        <v>42474</v>
      </c>
      <c r="BU26" s="38">
        <v>3.33</v>
      </c>
    </row>
    <row r="27" spans="2:73" ht="14.25" customHeight="1" thickTop="1" thickBot="1">
      <c r="B27" s="680"/>
      <c r="C27" s="155">
        <f>IF(D27=" ",C26,C26+1)</f>
        <v>13</v>
      </c>
      <c r="D27" s="282" t="str">
        <f>IF(J26&lt;31,J26+1," ")</f>
        <v xml:space="preserve"> </v>
      </c>
      <c r="E27" s="282" t="str">
        <f>IF(D27&lt;31,D27+1," ")</f>
        <v xml:space="preserve"> </v>
      </c>
      <c r="F27" s="283" t="str">
        <f>IF(E26&lt;24,E26+8," ")</f>
        <v xml:space="preserve"> </v>
      </c>
      <c r="G27" s="283" t="str">
        <f>IF(F26&lt;24,F26+8," ")</f>
        <v xml:space="preserve"> </v>
      </c>
      <c r="H27" s="283" t="str">
        <f>IF(G26&lt;24,G26+8," ")</f>
        <v xml:space="preserve"> </v>
      </c>
      <c r="I27" s="283" t="str">
        <f>IF(H26&lt;24,H26+8," ")</f>
        <v xml:space="preserve"> </v>
      </c>
      <c r="J27" s="283" t="str">
        <f>IF(I26&lt;24,I26+8," ")</f>
        <v xml:space="preserve"> </v>
      </c>
      <c r="K27" s="72"/>
      <c r="L27" s="72"/>
      <c r="M27" s="54">
        <f>SUM(K22:K27)</f>
        <v>0</v>
      </c>
      <c r="N27" s="680"/>
      <c r="O27" s="155">
        <f>IF(P27=" ",O26,O26+1)</f>
        <v>40</v>
      </c>
      <c r="P27" s="282">
        <f>IF(V26&lt;30,V26+1," ")</f>
        <v>30</v>
      </c>
      <c r="Q27" s="282" t="str">
        <f>IF(P27&lt;30,P27+1," ")</f>
        <v xml:space="preserve"> </v>
      </c>
      <c r="R27" s="282" t="str">
        <f>IF(Q27&lt;30,Q27+1," ")</f>
        <v xml:space="preserve"> </v>
      </c>
      <c r="S27" s="282" t="str">
        <f>IF(R27&lt;30,R27+1," ")</f>
        <v xml:space="preserve"> </v>
      </c>
      <c r="T27" s="282" t="str">
        <f>IF(S27&lt;30,S27+1," ")</f>
        <v xml:space="preserve"> </v>
      </c>
      <c r="U27" s="282" t="str">
        <f>IF(T27&lt;30,T27+1," ")</f>
        <v xml:space="preserve"> </v>
      </c>
      <c r="V27" s="282" t="str">
        <f>IF(U27&lt;30,U27+1," ")</f>
        <v xml:space="preserve"> </v>
      </c>
      <c r="W27" s="72"/>
      <c r="X27" s="72"/>
      <c r="Y27" s="54">
        <f>SUM(W22:W27)</f>
        <v>0</v>
      </c>
      <c r="Z27" s="643" t="s">
        <v>229</v>
      </c>
      <c r="AA27" s="643"/>
      <c r="AB27" s="643"/>
      <c r="AC27" s="643"/>
      <c r="AD27" s="43"/>
      <c r="AE27" s="43" t="s">
        <v>225</v>
      </c>
      <c r="AF27" s="43">
        <f>MOD(19*AF$24+AA$28,30)</f>
        <v>4</v>
      </c>
      <c r="AG27" s="56"/>
      <c r="AH27" s="56"/>
      <c r="AI27" s="43"/>
      <c r="AJ27" s="43">
        <v>0</v>
      </c>
      <c r="AK27" s="43">
        <v>7</v>
      </c>
      <c r="AL27" s="44" t="s">
        <v>279</v>
      </c>
      <c r="AM27" s="43"/>
      <c r="AN27" s="218">
        <v>8</v>
      </c>
      <c r="AO27" s="40">
        <v>7</v>
      </c>
      <c r="AP27" s="40">
        <v>31</v>
      </c>
      <c r="AQ27" s="40">
        <f t="shared" si="15"/>
        <v>212</v>
      </c>
      <c r="AR27" s="40">
        <v>31</v>
      </c>
      <c r="AS27" s="40">
        <f t="shared" si="16"/>
        <v>213</v>
      </c>
      <c r="AT27" s="43" t="s">
        <v>300</v>
      </c>
      <c r="AU27" s="398">
        <f t="shared" si="9"/>
        <v>45474</v>
      </c>
      <c r="AV27" s="399">
        <f t="shared" si="9"/>
        <v>45474</v>
      </c>
      <c r="AW27" s="38">
        <f t="shared" si="10"/>
        <v>2</v>
      </c>
      <c r="AX27" s="38">
        <f t="shared" si="11"/>
        <v>1</v>
      </c>
      <c r="AY27" s="38">
        <v>0</v>
      </c>
      <c r="BA27" s="38">
        <v>1</v>
      </c>
      <c r="BC27" s="38">
        <v>4</v>
      </c>
      <c r="BE27" s="38">
        <f t="shared" si="12"/>
        <v>12</v>
      </c>
      <c r="BT27" s="391">
        <v>42475</v>
      </c>
      <c r="BU27" s="38">
        <v>3.83</v>
      </c>
    </row>
    <row r="28" spans="2:73" ht="12.75" customHeight="1" thickTop="1">
      <c r="B28" s="678" t="s">
        <v>232</v>
      </c>
      <c r="C28" s="151">
        <f>IF(D28&lt;&gt;" ",C27+1,C27)</f>
        <v>14</v>
      </c>
      <c r="D28" s="278">
        <f>IF($AB$10=1,1," ")</f>
        <v>1</v>
      </c>
      <c r="E28" s="278">
        <f>IF($AB$10=2,1,IF(D28=1,D28+1," "))</f>
        <v>2</v>
      </c>
      <c r="F28" s="278">
        <f>IF($AB$10=3,1,IF(D28=1,D28+2,IF(E28=1,E28+1," ")))</f>
        <v>3</v>
      </c>
      <c r="G28" s="278">
        <f>IF($AB$10=4,1,IF($D28=1,$D28+3,IF($E28=1,$E28+2,IF($F28=1,$F28+1," "))))</f>
        <v>4</v>
      </c>
      <c r="H28" s="278">
        <f>IF($AB$10=5,1,IF($D28=1,$D28+4,IF($E28=1,$E28+3,IF($F28=1,$F28+2,IF($G28=1,$G28+1," ")))))</f>
        <v>5</v>
      </c>
      <c r="I28" s="278">
        <f>IF($AB$10=6,1,IF($D28=1,$D28+5,IF($E28=1,$E28+4,IF($F28=1,$F28+3,IF($G28=1,$G28+2,IF($H28=1,H28+1," "))))))</f>
        <v>6</v>
      </c>
      <c r="J28" s="279">
        <f>IF($AB$10=0,1,IF($D28=1,$D28+6,IF($E28=1,$E28+5,IF($F28=1,$F28+4,IF($G28=1,$G28+3,IF($H28=1,$H28+2,IF($I28=1,$I28+1," ")))))))</f>
        <v>7</v>
      </c>
      <c r="K28" s="73"/>
      <c r="L28" s="73"/>
      <c r="M28" s="63"/>
      <c r="N28" s="678" t="s">
        <v>265</v>
      </c>
      <c r="O28" s="151">
        <f>IF(P28&lt;&gt;" ",O27+1,O27)</f>
        <v>40</v>
      </c>
      <c r="P28" s="278" t="str">
        <f>IF($AB$16=1,1," ")</f>
        <v xml:space="preserve"> </v>
      </c>
      <c r="Q28" s="278">
        <f>IF($AB$16=2,1,IF(P28=1,P28+1," "))</f>
        <v>1</v>
      </c>
      <c r="R28" s="278">
        <f>IF($AB$16=3,1,IF(P28=1,P28+2,IF(Q28=1,Q28+1," ")))</f>
        <v>2</v>
      </c>
      <c r="S28" s="278">
        <f>IF($AB$16=4,1,IF($P28=1,$P28+3,IF($Q28=1,$Q28+2,IF($R28=1,$R28+1," "))))</f>
        <v>3</v>
      </c>
      <c r="T28" s="278">
        <f>IF($AB$16=5,1,IF($P28=1,$P28+4+AD19,IF($Q28=1,$Q28+3,IF($R28=1,$R28+2,IF($S28=1,$S28+1," ")))))</f>
        <v>4</v>
      </c>
      <c r="U28" s="278">
        <f>IF($AB$16=6,1,IF($P28=1,$P28+5+AD19,IF($Q28=1,$Q28+4,IF($R28=1,$R28+3,IF($S28=1,$S28+2,IF($T28=1,T28+1," "))))))</f>
        <v>5</v>
      </c>
      <c r="V28" s="279">
        <f>IF($AB$16=0,1,IF($P28=1,$P28+6+AD19,IF($Q28=1,$Q28+5,IF($R28=1,$R28+4,IF($S28=1,$S28+3,IF($T28=1,$T28+2,IF($U28=1,$U28+1," ")))))))</f>
        <v>6</v>
      </c>
      <c r="W28" s="73"/>
      <c r="X28" s="73"/>
      <c r="Y28" s="42"/>
      <c r="Z28" s="43" t="s">
        <v>231</v>
      </c>
      <c r="AA28" s="400">
        <f>IF(AND(AD4&gt;0,AD4&lt;1583),15,AB28)</f>
        <v>24</v>
      </c>
      <c r="AB28" s="43">
        <f>AH28</f>
        <v>24</v>
      </c>
      <c r="AC28" s="43"/>
      <c r="AD28" s="43"/>
      <c r="AE28" s="43" t="s">
        <v>227</v>
      </c>
      <c r="AF28" s="43">
        <f>MOD(2*AF25+4*AF26+6*AF27+AA29,7)</f>
        <v>5</v>
      </c>
      <c r="AG28" s="56"/>
      <c r="AH28" s="401">
        <f>AE34-AG34-AG35+AG37-AG38</f>
        <v>24</v>
      </c>
      <c r="AI28" s="43"/>
      <c r="AJ28" s="43"/>
      <c r="AK28" s="43"/>
      <c r="AL28" s="43"/>
      <c r="AM28" s="43"/>
      <c r="AO28" s="40">
        <v>8</v>
      </c>
      <c r="AP28" s="40">
        <v>31</v>
      </c>
      <c r="AQ28" s="40">
        <f t="shared" si="15"/>
        <v>243</v>
      </c>
      <c r="AR28" s="40">
        <v>31</v>
      </c>
      <c r="AS28" s="40">
        <f t="shared" si="16"/>
        <v>244</v>
      </c>
      <c r="AT28" s="43" t="s">
        <v>302</v>
      </c>
      <c r="AU28" s="398">
        <f t="shared" si="9"/>
        <v>45505</v>
      </c>
      <c r="AV28" s="399">
        <f t="shared" si="9"/>
        <v>45505</v>
      </c>
      <c r="AW28" s="38">
        <f t="shared" si="10"/>
        <v>5</v>
      </c>
      <c r="AX28" s="38">
        <f t="shared" si="11"/>
        <v>4</v>
      </c>
      <c r="AY28" s="38">
        <v>3</v>
      </c>
      <c r="BA28" s="38">
        <v>4</v>
      </c>
      <c r="BC28" s="38">
        <v>5</v>
      </c>
      <c r="BE28" s="38">
        <f t="shared" si="12"/>
        <v>13</v>
      </c>
      <c r="BT28" s="391">
        <v>42476</v>
      </c>
      <c r="BU28" s="38">
        <v>3.27</v>
      </c>
    </row>
    <row r="29" spans="2:73" ht="12.75" customHeight="1">
      <c r="B29" s="679"/>
      <c r="C29" s="156">
        <f>C28+1</f>
        <v>15</v>
      </c>
      <c r="D29" s="280">
        <f>J28+1</f>
        <v>8</v>
      </c>
      <c r="E29" s="280">
        <f t="shared" ref="E29:J31" si="17">D29+1</f>
        <v>9</v>
      </c>
      <c r="F29" s="280">
        <f t="shared" si="17"/>
        <v>10</v>
      </c>
      <c r="G29" s="280">
        <f t="shared" si="17"/>
        <v>11</v>
      </c>
      <c r="H29" s="280">
        <f t="shared" si="17"/>
        <v>12</v>
      </c>
      <c r="I29" s="280">
        <f t="shared" si="17"/>
        <v>13</v>
      </c>
      <c r="J29" s="281">
        <f t="shared" si="17"/>
        <v>14</v>
      </c>
      <c r="K29" s="73"/>
      <c r="L29" s="73"/>
      <c r="M29" s="62"/>
      <c r="N29" s="679"/>
      <c r="O29" s="156">
        <f>O28+1</f>
        <v>41</v>
      </c>
      <c r="P29" s="280">
        <f>V28+1</f>
        <v>7</v>
      </c>
      <c r="Q29" s="280">
        <f t="shared" ref="Q29:V30" si="18">P29+1</f>
        <v>8</v>
      </c>
      <c r="R29" s="280">
        <f t="shared" si="18"/>
        <v>9</v>
      </c>
      <c r="S29" s="280">
        <f t="shared" si="18"/>
        <v>10</v>
      </c>
      <c r="T29" s="280">
        <f t="shared" si="18"/>
        <v>11</v>
      </c>
      <c r="U29" s="280">
        <f t="shared" si="18"/>
        <v>12</v>
      </c>
      <c r="V29" s="281">
        <f t="shared" si="18"/>
        <v>13</v>
      </c>
      <c r="W29" s="70"/>
      <c r="X29" s="70"/>
      <c r="Y29" s="64"/>
      <c r="Z29" s="43" t="s">
        <v>233</v>
      </c>
      <c r="AA29" s="400">
        <f>IF(AND(AD4&gt;0,AD4&lt;1583),6,AB29)</f>
        <v>5</v>
      </c>
      <c r="AB29" s="43">
        <f>AE36</f>
        <v>5</v>
      </c>
      <c r="AC29" s="43"/>
      <c r="AD29" s="43"/>
      <c r="AE29" s="56"/>
      <c r="AF29" s="55" t="s">
        <v>228</v>
      </c>
      <c r="AG29" s="56"/>
      <c r="AH29" s="56"/>
      <c r="AI29" s="43"/>
      <c r="AJ29" s="43"/>
      <c r="AK29" s="43"/>
      <c r="AL29" s="43"/>
      <c r="AM29" s="43"/>
      <c r="AO29" s="40">
        <v>9</v>
      </c>
      <c r="AP29" s="40">
        <v>30</v>
      </c>
      <c r="AQ29" s="40">
        <f t="shared" si="15"/>
        <v>273</v>
      </c>
      <c r="AR29" s="40">
        <v>30</v>
      </c>
      <c r="AS29" s="40">
        <f t="shared" si="16"/>
        <v>274</v>
      </c>
      <c r="AT29" s="43" t="s">
        <v>304</v>
      </c>
      <c r="AU29" s="398">
        <f t="shared" si="9"/>
        <v>45536</v>
      </c>
      <c r="AV29" s="399">
        <f t="shared" si="9"/>
        <v>45536</v>
      </c>
      <c r="AW29" s="38">
        <f t="shared" si="10"/>
        <v>1</v>
      </c>
      <c r="AX29" s="38">
        <f t="shared" si="11"/>
        <v>0</v>
      </c>
      <c r="AY29" s="38">
        <v>6</v>
      </c>
      <c r="BA29" s="38">
        <v>0</v>
      </c>
      <c r="BC29" s="38">
        <v>7</v>
      </c>
      <c r="BE29" s="38">
        <f t="shared" si="12"/>
        <v>15</v>
      </c>
      <c r="BT29" s="391">
        <v>42477</v>
      </c>
      <c r="BU29" s="38">
        <v>3.83</v>
      </c>
    </row>
    <row r="30" spans="2:73" ht="12.75" customHeight="1">
      <c r="B30" s="679"/>
      <c r="C30" s="152">
        <f>C29+1</f>
        <v>16</v>
      </c>
      <c r="D30" s="280">
        <f>J29+1</f>
        <v>15</v>
      </c>
      <c r="E30" s="280">
        <f t="shared" si="17"/>
        <v>16</v>
      </c>
      <c r="F30" s="280">
        <f t="shared" si="17"/>
        <v>17</v>
      </c>
      <c r="G30" s="280">
        <f t="shared" si="17"/>
        <v>18</v>
      </c>
      <c r="H30" s="280">
        <f t="shared" si="17"/>
        <v>19</v>
      </c>
      <c r="I30" s="280">
        <f t="shared" si="17"/>
        <v>20</v>
      </c>
      <c r="J30" s="281">
        <f t="shared" si="17"/>
        <v>21</v>
      </c>
      <c r="K30" s="70"/>
      <c r="L30" s="70"/>
      <c r="M30" s="62"/>
      <c r="N30" s="679"/>
      <c r="O30" s="152">
        <f>O29+1</f>
        <v>42</v>
      </c>
      <c r="P30" s="280">
        <f>V29+1</f>
        <v>14</v>
      </c>
      <c r="Q30" s="280">
        <f t="shared" si="18"/>
        <v>15</v>
      </c>
      <c r="R30" s="280">
        <f t="shared" si="18"/>
        <v>16</v>
      </c>
      <c r="S30" s="280">
        <f t="shared" si="18"/>
        <v>17</v>
      </c>
      <c r="T30" s="280">
        <f t="shared" si="18"/>
        <v>18</v>
      </c>
      <c r="U30" s="280">
        <f t="shared" si="18"/>
        <v>19</v>
      </c>
      <c r="V30" s="281">
        <f t="shared" si="18"/>
        <v>20</v>
      </c>
      <c r="W30" s="70"/>
      <c r="X30" s="70"/>
      <c r="Y30" s="42"/>
      <c r="AA30" s="43"/>
      <c r="AB30" s="43"/>
      <c r="AC30" s="43">
        <f>IF(Z31=2,AB31,"no")</f>
        <v>14</v>
      </c>
      <c r="AD30" s="43">
        <f>IF(AE30&gt;31,AE30-31,AE30)</f>
        <v>31</v>
      </c>
      <c r="AE30" s="43">
        <f>IF((22+AF27+AF28)&lt;57,22+AF27+AF28,22+AF27+AF28-7)</f>
        <v>31</v>
      </c>
      <c r="AF30" s="55" t="s">
        <v>524</v>
      </c>
      <c r="AG30" s="43">
        <f>IF(AE30&gt;31,AE30-31,AE30)</f>
        <v>31</v>
      </c>
      <c r="AH30" s="55" t="str">
        <f>IF(AE30&gt;31,AF31,AF30)</f>
        <v>MARÇ</v>
      </c>
      <c r="AI30" s="43"/>
      <c r="AJ30" s="43">
        <f>31+28+AH11+AG30</f>
        <v>91</v>
      </c>
      <c r="AK30" s="43">
        <f>MOD(AJ30,7)</f>
        <v>0</v>
      </c>
      <c r="AL30" s="43">
        <f>IF(AK30=0,1,8-AK30)</f>
        <v>1</v>
      </c>
      <c r="AM30" s="43"/>
      <c r="AO30" s="40">
        <v>10</v>
      </c>
      <c r="AP30" s="40">
        <v>31</v>
      </c>
      <c r="AQ30" s="40">
        <f t="shared" si="15"/>
        <v>304</v>
      </c>
      <c r="AR30" s="40">
        <v>31</v>
      </c>
      <c r="AS30" s="40">
        <f t="shared" si="16"/>
        <v>305</v>
      </c>
      <c r="AT30" s="43" t="s">
        <v>306</v>
      </c>
      <c r="AU30" s="398">
        <f t="shared" si="9"/>
        <v>45566</v>
      </c>
      <c r="AV30" s="399">
        <f t="shared" si="9"/>
        <v>45566</v>
      </c>
      <c r="AW30" s="38">
        <f t="shared" si="10"/>
        <v>3</v>
      </c>
      <c r="AX30" s="38">
        <f t="shared" si="11"/>
        <v>2</v>
      </c>
      <c r="AY30" s="38">
        <v>1</v>
      </c>
      <c r="BA30" s="38">
        <v>2</v>
      </c>
      <c r="BC30" s="38">
        <v>7</v>
      </c>
      <c r="BE30" s="38">
        <f t="shared" si="12"/>
        <v>15</v>
      </c>
      <c r="BT30" s="391">
        <v>42478</v>
      </c>
      <c r="BU30" s="38">
        <v>3.66</v>
      </c>
    </row>
    <row r="31" spans="2:73" ht="12.75" customHeight="1">
      <c r="B31" s="679"/>
      <c r="C31" s="152">
        <f>C30+1</f>
        <v>17</v>
      </c>
      <c r="D31" s="280">
        <f>J30+1</f>
        <v>22</v>
      </c>
      <c r="E31" s="280">
        <f t="shared" si="17"/>
        <v>23</v>
      </c>
      <c r="F31" s="280">
        <f t="shared" si="17"/>
        <v>24</v>
      </c>
      <c r="G31" s="280">
        <f t="shared" si="17"/>
        <v>25</v>
      </c>
      <c r="H31" s="280">
        <f t="shared" si="17"/>
        <v>26</v>
      </c>
      <c r="I31" s="280">
        <f t="shared" si="17"/>
        <v>27</v>
      </c>
      <c r="J31" s="281">
        <f t="shared" si="17"/>
        <v>28</v>
      </c>
      <c r="K31" s="70"/>
      <c r="L31" s="70"/>
      <c r="M31" s="62"/>
      <c r="N31" s="679"/>
      <c r="O31" s="152">
        <f>IF(P31&lt;&gt;0,O30+1,O30)</f>
        <v>43</v>
      </c>
      <c r="P31" s="280">
        <f>IF(V30+1&lt;32,V30+1,0)</f>
        <v>21</v>
      </c>
      <c r="Q31" s="280">
        <f>IF(P31&lt;&gt;0,P31+1,0)</f>
        <v>22</v>
      </c>
      <c r="R31" s="280">
        <f>IF(P31&lt;&gt;0,Q31+1,0)</f>
        <v>23</v>
      </c>
      <c r="S31" s="280">
        <f>IF(P31&lt;&gt;0,R31+1,0)</f>
        <v>24</v>
      </c>
      <c r="T31" s="280">
        <f>IF(P31&lt;&gt;0,S31+1,0)</f>
        <v>25</v>
      </c>
      <c r="U31" s="280">
        <f>IF(P31&lt;&gt;0,T31+1,0)</f>
        <v>26</v>
      </c>
      <c r="V31" s="281">
        <f>IF(P31&lt;&gt;0,U31+1,0)</f>
        <v>27</v>
      </c>
      <c r="W31" s="74"/>
      <c r="X31" s="74"/>
      <c r="Y31" s="42"/>
      <c r="Z31" s="40">
        <f>MONTH(AA31)</f>
        <v>2</v>
      </c>
      <c r="AA31" s="402">
        <f>$C$53</f>
        <v>45336</v>
      </c>
      <c r="AB31" s="643">
        <f>DAY(AA31)</f>
        <v>14</v>
      </c>
      <c r="AC31" s="643"/>
      <c r="AD31" s="43">
        <f>IF(AE31&lt;1,AE31+31,AE31)</f>
        <v>31</v>
      </c>
      <c r="AE31" s="43">
        <f>IF((AF27+AF28-9)&lt;26,AF27+AF28-9,AF27+AF28-9-7)</f>
        <v>0</v>
      </c>
      <c r="AF31" s="55" t="s">
        <v>232</v>
      </c>
      <c r="AG31" s="43">
        <f>IF(AE31&lt;1,AE31+31,AE31)</f>
        <v>31</v>
      </c>
      <c r="AH31" s="55" t="str">
        <f>IF(AE31&lt;1,AF30,AF31)</f>
        <v>MARÇ</v>
      </c>
      <c r="AI31" s="43"/>
      <c r="AJ31" s="43">
        <f>IF(AH31="ABRIL",31+28+AH11+31+AG31,AJ30)</f>
        <v>91</v>
      </c>
      <c r="AK31" s="43">
        <f>MOD(AJ31,7)</f>
        <v>0</v>
      </c>
      <c r="AL31" s="43">
        <f>IF(AK31=0,1,8-AK31)</f>
        <v>1</v>
      </c>
      <c r="AM31" s="43"/>
      <c r="AO31" s="40">
        <v>11</v>
      </c>
      <c r="AP31" s="40">
        <v>30</v>
      </c>
      <c r="AQ31" s="40">
        <f t="shared" si="15"/>
        <v>334</v>
      </c>
      <c r="AR31" s="40">
        <v>30</v>
      </c>
      <c r="AS31" s="40">
        <f t="shared" si="16"/>
        <v>335</v>
      </c>
      <c r="AT31" s="43" t="s">
        <v>308</v>
      </c>
      <c r="AU31" s="398">
        <f t="shared" si="9"/>
        <v>45597</v>
      </c>
      <c r="AV31" s="399">
        <f t="shared" si="9"/>
        <v>45597</v>
      </c>
      <c r="AW31" s="38">
        <f t="shared" si="10"/>
        <v>6</v>
      </c>
      <c r="AX31" s="38">
        <f t="shared" si="11"/>
        <v>5</v>
      </c>
      <c r="AY31" s="38">
        <v>4</v>
      </c>
      <c r="BA31" s="38">
        <v>5</v>
      </c>
      <c r="BC31" s="38">
        <v>9</v>
      </c>
      <c r="BE31" s="38">
        <f t="shared" si="12"/>
        <v>17</v>
      </c>
      <c r="BH31" s="58" t="s">
        <v>765</v>
      </c>
      <c r="BT31" s="391">
        <v>42479</v>
      </c>
      <c r="BU31" s="38">
        <v>3.87</v>
      </c>
    </row>
    <row r="32" spans="2:73" ht="12.75" customHeight="1" thickBot="1">
      <c r="B32" s="679"/>
      <c r="C32" s="152">
        <f>C31+1</f>
        <v>18</v>
      </c>
      <c r="D32" s="284">
        <f>J31+1</f>
        <v>29</v>
      </c>
      <c r="E32" s="284">
        <f>D32+1</f>
        <v>30</v>
      </c>
      <c r="F32" s="284" t="str">
        <f>IF(E32&lt;30,E32+1," ")</f>
        <v xml:space="preserve"> </v>
      </c>
      <c r="G32" s="284" t="str">
        <f>IF(E32&lt;29,E32+2," ")</f>
        <v xml:space="preserve"> </v>
      </c>
      <c r="H32" s="284" t="str">
        <f>IF(E32&lt;28,E32+3," ")</f>
        <v xml:space="preserve"> </v>
      </c>
      <c r="I32" s="284" t="str">
        <f>IF(E32&lt;27,E32+4," ")</f>
        <v xml:space="preserve"> </v>
      </c>
      <c r="J32" s="285" t="str">
        <f>IF(E32&lt;26,E32+5," ")</f>
        <v xml:space="preserve"> </v>
      </c>
      <c r="K32" s="70"/>
      <c r="L32" s="70"/>
      <c r="M32" s="62"/>
      <c r="N32" s="679"/>
      <c r="O32" s="152">
        <f>IF(P31&lt;&gt;0,O31+1,O31)</f>
        <v>44</v>
      </c>
      <c r="P32" s="280">
        <f>IF(P31&lt;&gt;0,V31+1,0)</f>
        <v>28</v>
      </c>
      <c r="Q32" s="280">
        <f>IF(P31&lt;&gt;0,P32+1,0)</f>
        <v>29</v>
      </c>
      <c r="R32" s="280">
        <f>IF(AND(P31&lt;&gt;0,Q32&lt;31),Q32+1," ")</f>
        <v>30</v>
      </c>
      <c r="S32" s="280">
        <f>IF(AND(P31&lt;&gt;0,Q32&lt;30),Q32+2," ")</f>
        <v>31</v>
      </c>
      <c r="T32" s="280" t="str">
        <f>IF(AND(P31&lt;&gt;0,Q32&lt;29),Q32+3," ")</f>
        <v xml:space="preserve"> </v>
      </c>
      <c r="U32" s="280" t="str">
        <f>IF(AND(P31&lt;&gt;0,Q32&lt;28),Q32+4," ")</f>
        <v xml:space="preserve"> </v>
      </c>
      <c r="V32" s="281" t="str">
        <f>IF(AND(P31&lt;&gt;0,Q32&lt;27),Q32+5," ")</f>
        <v xml:space="preserve"> </v>
      </c>
      <c r="W32" s="70"/>
      <c r="X32" s="70"/>
      <c r="Y32" s="42"/>
      <c r="Z32" s="40" t="s">
        <v>525</v>
      </c>
      <c r="AA32" s="400"/>
      <c r="AB32" s="643" t="str">
        <f>IF(Z31=3,AB31,"no")</f>
        <v>no</v>
      </c>
      <c r="AC32" s="643"/>
      <c r="AD32" s="43"/>
      <c r="AE32" s="55"/>
      <c r="AF32" s="55"/>
      <c r="AG32" s="55"/>
      <c r="AH32" s="43">
        <f>IF(AH30="ABRIL",4,3)</f>
        <v>3</v>
      </c>
      <c r="AI32" s="43"/>
      <c r="AJ32" s="43"/>
      <c r="AK32" s="43"/>
      <c r="AL32" s="43"/>
      <c r="AM32" s="43"/>
      <c r="AO32" s="40">
        <v>12</v>
      </c>
      <c r="AP32" s="40">
        <v>31</v>
      </c>
      <c r="AQ32" s="40">
        <f t="shared" si="15"/>
        <v>365</v>
      </c>
      <c r="AR32" s="40">
        <v>31</v>
      </c>
      <c r="AS32" s="40">
        <f t="shared" si="16"/>
        <v>366</v>
      </c>
      <c r="AT32" s="43" t="s">
        <v>310</v>
      </c>
      <c r="AU32" s="398">
        <f t="shared" si="9"/>
        <v>45627</v>
      </c>
      <c r="AV32" s="399">
        <f t="shared" si="9"/>
        <v>45627</v>
      </c>
      <c r="AW32" s="38">
        <f t="shared" si="10"/>
        <v>1</v>
      </c>
      <c r="AX32" s="38">
        <f t="shared" si="11"/>
        <v>0</v>
      </c>
      <c r="AY32" s="38">
        <v>6</v>
      </c>
      <c r="BA32" s="38">
        <v>6</v>
      </c>
      <c r="BC32" s="38">
        <v>9</v>
      </c>
      <c r="BE32" s="38">
        <f t="shared" si="12"/>
        <v>17</v>
      </c>
      <c r="BT32" s="391">
        <v>42480</v>
      </c>
      <c r="BU32" s="38">
        <v>3.33</v>
      </c>
    </row>
    <row r="33" spans="1:73" ht="12.75" customHeight="1" thickTop="1" thickBot="1">
      <c r="B33" s="680"/>
      <c r="C33" s="155">
        <f>IF(D33=" ",C32,C32+1)</f>
        <v>18</v>
      </c>
      <c r="D33" s="282" t="str">
        <f>IF(J32&lt;30,J32+1," ")</f>
        <v xml:space="preserve"> </v>
      </c>
      <c r="E33" s="282" t="str">
        <f>IF(D33&lt;30,D33+1," ")</f>
        <v xml:space="preserve"> </v>
      </c>
      <c r="F33" s="282" t="str">
        <f>IF(E33&lt;30,E33+1," ")</f>
        <v xml:space="preserve"> </v>
      </c>
      <c r="G33" s="282" t="str">
        <f>IF(F33&lt;30,F33+1," ")</f>
        <v xml:space="preserve"> </v>
      </c>
      <c r="H33" s="282" t="str">
        <f>IF(G33&lt;30,G33+1," ")</f>
        <v xml:space="preserve"> </v>
      </c>
      <c r="I33" s="282" t="str">
        <f>IF(H33&lt;30,H33+1," ")</f>
        <v xml:space="preserve"> </v>
      </c>
      <c r="J33" s="282" t="str">
        <f>IF(I33&lt;30,I33+1," ")</f>
        <v xml:space="preserve"> </v>
      </c>
      <c r="K33" s="72"/>
      <c r="L33" s="72"/>
      <c r="M33" s="54">
        <f>SUM(K28:K33)</f>
        <v>0</v>
      </c>
      <c r="N33" s="680"/>
      <c r="O33" s="155">
        <f>IF(P33=" ",O32,O32+1)</f>
        <v>44</v>
      </c>
      <c r="P33" s="282" t="str">
        <f>IF(V32&lt;31,V32+1," ")</f>
        <v xml:space="preserve"> </v>
      </c>
      <c r="Q33" s="282" t="str">
        <f t="shared" ref="Q33:V33" si="19">IF(P33&lt;31,P33+1," ")</f>
        <v xml:space="preserve"> </v>
      </c>
      <c r="R33" s="282" t="str">
        <f t="shared" si="19"/>
        <v xml:space="preserve"> </v>
      </c>
      <c r="S33" s="282" t="str">
        <f t="shared" si="19"/>
        <v xml:space="preserve"> </v>
      </c>
      <c r="T33" s="282" t="str">
        <f t="shared" si="19"/>
        <v xml:space="preserve"> </v>
      </c>
      <c r="U33" s="282" t="str">
        <f t="shared" si="19"/>
        <v xml:space="preserve"> </v>
      </c>
      <c r="V33" s="282" t="str">
        <f t="shared" si="19"/>
        <v xml:space="preserve"> </v>
      </c>
      <c r="W33" s="75"/>
      <c r="X33" s="75"/>
      <c r="Y33" s="42"/>
      <c r="Z33" s="643" t="s">
        <v>228</v>
      </c>
      <c r="AA33" s="643"/>
      <c r="AB33" s="643"/>
      <c r="AC33" s="43"/>
      <c r="AD33" s="43"/>
      <c r="AE33" s="43"/>
      <c r="AF33" s="43"/>
      <c r="AG33" s="43"/>
      <c r="AH33" s="43"/>
      <c r="AI33" s="43"/>
      <c r="AJ33" s="43"/>
      <c r="AK33" s="251">
        <f>IF(AH31="ABRIL",AL31,AL30)</f>
        <v>1</v>
      </c>
      <c r="AL33" s="43"/>
      <c r="AM33" s="43"/>
      <c r="AN33" s="43"/>
      <c r="AS33" s="513"/>
      <c r="AT33" s="514" t="s">
        <v>759</v>
      </c>
      <c r="AU33" s="513"/>
      <c r="AV33" s="511" t="s">
        <v>34</v>
      </c>
      <c r="AW33" s="512">
        <f>IF($AS$35=1,AW34,AX33)</f>
        <v>42481</v>
      </c>
      <c r="AX33" s="500">
        <f>IF($AS$35=2,AX34,AY33)</f>
        <v>42481</v>
      </c>
      <c r="AY33" s="500">
        <f>IF($AS$35=3,AY34,AZ33)</f>
        <v>42481</v>
      </c>
      <c r="AZ33" s="500">
        <f>IF($AS$35=4,AZ34,BA33)</f>
        <v>42481</v>
      </c>
      <c r="BA33" s="500">
        <f>IF($AS$35=5,BA34,BB33)</f>
        <v>42481</v>
      </c>
      <c r="BB33" s="500">
        <f>IF($AS$35=6,BB34,BC33)</f>
        <v>42481</v>
      </c>
      <c r="BC33" s="500">
        <f>IF($AS$35=7,BC34,AW33)</f>
        <v>42481</v>
      </c>
      <c r="BT33" s="391">
        <v>42481</v>
      </c>
      <c r="BU33" s="38">
        <v>2.85</v>
      </c>
    </row>
    <row r="34" spans="1:73" ht="14.25" customHeight="1" thickTop="1">
      <c r="A34" s="51"/>
      <c r="B34" s="678" t="s">
        <v>258</v>
      </c>
      <c r="C34" s="151">
        <f>IF(D34&lt;&gt;" ",C33+1,C33)</f>
        <v>18</v>
      </c>
      <c r="D34" s="278" t="str">
        <f>IF($AB$11=1,1," ")</f>
        <v xml:space="preserve"> </v>
      </c>
      <c r="E34" s="278" t="str">
        <f>IF($AB$11=2,1,IF(D34=1,D34+1," "))</f>
        <v xml:space="preserve"> </v>
      </c>
      <c r="F34" s="278">
        <f>IF($AB$11=3,1,IF(D34=1,D34+2,IF(E34=1,E34+1," ")))</f>
        <v>1</v>
      </c>
      <c r="G34" s="278">
        <f>IF($AB$11=4,1,IF($D34=1,$D34+3,IF($E34=1,$E34+2,IF($F34=1,$F34+1," "))))</f>
        <v>2</v>
      </c>
      <c r="H34" s="278">
        <f>IF($AB$11=5,1,IF($D34=1,$D34+4,IF($E34=1,$E34+3,IF($F34=1,$F34+2,IF($G34=1,$G34+1," ")))))</f>
        <v>3</v>
      </c>
      <c r="I34" s="278">
        <f>IF($AB$11=6,1,IF($D34=1,$D34+5,IF($E34=1,$E34+4,IF($F34=1,$F34+3,IF($G34=1,$G34+2,IF($H34=1,H34+1," "))))))</f>
        <v>4</v>
      </c>
      <c r="J34" s="279">
        <f>IF($AB$11=0,1,IF($D34=1,$D34+6,IF($E34=1,$E34+5,IF($F34=1,$F34+4,IF($G34=1,$G34+3,IF($H34=1,$H34+2,IF($I34=1,$I34+1," ")))))))</f>
        <v>5</v>
      </c>
      <c r="K34" s="73"/>
      <c r="L34" s="73"/>
      <c r="M34" s="62"/>
      <c r="N34" s="678" t="s">
        <v>263</v>
      </c>
      <c r="O34" s="151">
        <f>IF(P34&lt;&gt;" ",O33+1,O33)</f>
        <v>44</v>
      </c>
      <c r="P34" s="278" t="str">
        <f>IF($AB$17=1,1," ")</f>
        <v xml:space="preserve"> </v>
      </c>
      <c r="Q34" s="278" t="str">
        <f>IF($AB$17=2,1,IF(P34=1,P34+1," "))</f>
        <v xml:space="preserve"> </v>
      </c>
      <c r="R34" s="278" t="str">
        <f>IF($AB$17=3,1,IF(P34=1,P34+2,IF(Q34=1,Q34+1," ")))</f>
        <v xml:space="preserve"> </v>
      </c>
      <c r="S34" s="278" t="str">
        <f>IF($AB$17=4,1,IF($P34=1,$P34+3,IF($Q34=1,$Q34+2,IF($R34=1,$R34+1," "))))</f>
        <v xml:space="preserve"> </v>
      </c>
      <c r="T34" s="278">
        <f>IF($AB$17=5,1,IF($P34=1,$P34+4,IF($Q34=1,$Q34+3,IF($R34=1,$R34+2,IF($S34=1,$S34+1," ")))))</f>
        <v>1</v>
      </c>
      <c r="U34" s="278">
        <f>IF($AB$17=6,1,IF($P34=1,$P34+5,IF($Q34=1,$Q34+4,IF($R34=1,$R34+3,IF($S34=1,$S34+2,IF($T34=1,T34+1," "))))))</f>
        <v>2</v>
      </c>
      <c r="V34" s="279">
        <f>IF($AB$17=0,1,IF($P34=1,$P34+6,IF($Q34=1,$Q34+5,IF($R34=1,$R34+4,IF($S34=1,$S34+3,IF($T34=1,$T34+2,IF($U34=1,$U34+1," ")))))))</f>
        <v>3</v>
      </c>
      <c r="W34" s="69"/>
      <c r="X34" s="69"/>
      <c r="Y34" s="42"/>
      <c r="Z34" s="689">
        <f>DATE(AF21,AH32,AG31)</f>
        <v>45382</v>
      </c>
      <c r="AA34" s="689"/>
      <c r="AB34" s="689"/>
      <c r="AC34" s="55">
        <f>WEEKDAY(Z34,2)</f>
        <v>7</v>
      </c>
      <c r="AD34" s="55" t="str">
        <f>IF(AC34=7,"DIUMENTGE"," ")</f>
        <v>DIUMENTGE</v>
      </c>
      <c r="AE34" s="400">
        <f>INT(AD4/100)</f>
        <v>20</v>
      </c>
      <c r="AF34" s="43"/>
      <c r="AG34" s="401">
        <f>INT(AE34/4)</f>
        <v>5</v>
      </c>
      <c r="AH34" s="43"/>
      <c r="AI34" s="43"/>
      <c r="AJ34" s="43"/>
      <c r="AK34" s="43"/>
      <c r="AL34" s="43"/>
      <c r="AM34" s="43"/>
      <c r="AN34" s="43"/>
      <c r="AP34" s="498" t="s">
        <v>505</v>
      </c>
      <c r="AQ34" s="40"/>
      <c r="AR34" s="469" t="str">
        <f>luna!$A$74</f>
        <v>GF</v>
      </c>
      <c r="AS34" s="469" t="str">
        <f>RIGHT(AR34,1)</f>
        <v>F</v>
      </c>
      <c r="AT34" s="409">
        <f>luna!$W$21</f>
        <v>11</v>
      </c>
      <c r="AU34" s="468">
        <f>VLOOKUP(AO58,AT37:AU55,2)</f>
        <v>42462</v>
      </c>
      <c r="AV34" s="468">
        <f>VLOOKUP(AO58,AT37:AV55,3)</f>
        <v>42475</v>
      </c>
      <c r="AW34" s="500">
        <f>VLOOKUP($AO$58,$AT$37:$BC$56,4,)</f>
        <v>42476</v>
      </c>
      <c r="AX34" s="500">
        <f>VLOOKUP($AO$58,$AT$37:$BC$56,5,)</f>
        <v>42477</v>
      </c>
      <c r="AY34" s="500">
        <f>VLOOKUP($AO$58,$AT$37:$BC$56,6,)</f>
        <v>42478</v>
      </c>
      <c r="AZ34" s="500">
        <f>VLOOKUP($AO$58,$AT$37:$BC$56,7,)</f>
        <v>42479</v>
      </c>
      <c r="BA34" s="500">
        <f>VLOOKUP($AO$58,$AT$37:$BC$56,8,)</f>
        <v>42480</v>
      </c>
      <c r="BB34" s="500">
        <f>VLOOKUP($AO$58,$AT$37:$BC$56,9,)</f>
        <v>42481</v>
      </c>
      <c r="BC34" s="500">
        <f>VLOOKUP($AO$58,$AT$37:$BC$56,10,)</f>
        <v>42482</v>
      </c>
      <c r="BD34" s="38">
        <f>Principal!$C$10</f>
        <v>2024</v>
      </c>
      <c r="BE34" s="38">
        <v>1</v>
      </c>
      <c r="BF34" s="38">
        <v>2</v>
      </c>
      <c r="BG34" s="38">
        <v>3</v>
      </c>
      <c r="BH34" s="38">
        <v>4</v>
      </c>
      <c r="BI34" s="38">
        <v>5</v>
      </c>
      <c r="BJ34" s="38">
        <v>6</v>
      </c>
      <c r="BK34" s="38">
        <v>7</v>
      </c>
      <c r="BL34" s="38">
        <v>8</v>
      </c>
      <c r="BM34" s="38">
        <v>9</v>
      </c>
      <c r="BN34" s="38">
        <v>10</v>
      </c>
      <c r="BO34" s="38">
        <v>11</v>
      </c>
      <c r="BP34" s="38">
        <v>12</v>
      </c>
      <c r="BQ34" s="409">
        <f>luna!$W$21</f>
        <v>11</v>
      </c>
      <c r="BT34" s="391">
        <v>42482</v>
      </c>
      <c r="BU34" s="38">
        <v>2.41</v>
      </c>
    </row>
    <row r="35" spans="1:73" ht="12.75" customHeight="1">
      <c r="A35" s="51"/>
      <c r="B35" s="679"/>
      <c r="C35" s="156">
        <f>C34+1</f>
        <v>19</v>
      </c>
      <c r="D35" s="280">
        <f>J34+1</f>
        <v>6</v>
      </c>
      <c r="E35" s="280">
        <f t="shared" ref="E35:J37" si="20">D35+1</f>
        <v>7</v>
      </c>
      <c r="F35" s="280">
        <f t="shared" si="20"/>
        <v>8</v>
      </c>
      <c r="G35" s="280">
        <f t="shared" si="20"/>
        <v>9</v>
      </c>
      <c r="H35" s="280">
        <f t="shared" si="20"/>
        <v>10</v>
      </c>
      <c r="I35" s="280">
        <f t="shared" si="20"/>
        <v>11</v>
      </c>
      <c r="J35" s="281">
        <f t="shared" si="20"/>
        <v>12</v>
      </c>
      <c r="K35" s="70"/>
      <c r="L35" s="70"/>
      <c r="M35" s="62"/>
      <c r="N35" s="679"/>
      <c r="O35" s="156">
        <f>O34+1</f>
        <v>45</v>
      </c>
      <c r="P35" s="280">
        <f>V34+1</f>
        <v>4</v>
      </c>
      <c r="Q35" s="280">
        <f t="shared" ref="Q35:V37" si="21">P35+1</f>
        <v>5</v>
      </c>
      <c r="R35" s="280">
        <f t="shared" si="21"/>
        <v>6</v>
      </c>
      <c r="S35" s="280">
        <f t="shared" si="21"/>
        <v>7</v>
      </c>
      <c r="T35" s="280">
        <f t="shared" si="21"/>
        <v>8</v>
      </c>
      <c r="U35" s="280">
        <f t="shared" si="21"/>
        <v>9</v>
      </c>
      <c r="V35" s="281">
        <f t="shared" si="21"/>
        <v>10</v>
      </c>
      <c r="W35" s="74"/>
      <c r="X35" s="74"/>
      <c r="Y35" s="42"/>
      <c r="Z35" s="43"/>
      <c r="AA35" s="43" t="s">
        <v>526</v>
      </c>
      <c r="AB35" s="43"/>
      <c r="AC35" s="150">
        <f>Z34+1</f>
        <v>45383</v>
      </c>
      <c r="AD35" s="43">
        <f>DAY(Z37)</f>
        <v>28</v>
      </c>
      <c r="AE35" s="400">
        <f>INT((AE34-16)/4)</f>
        <v>1</v>
      </c>
      <c r="AF35" s="43"/>
      <c r="AG35" s="401">
        <f>INT((8*AE34+13)/25)</f>
        <v>6</v>
      </c>
      <c r="AH35" s="43"/>
      <c r="AI35" s="43"/>
      <c r="AJ35" s="43"/>
      <c r="AK35" s="43">
        <f>IF(AK37=-1,30,31)</f>
        <v>31</v>
      </c>
      <c r="AL35" s="456" t="s">
        <v>731</v>
      </c>
      <c r="AM35" s="457">
        <f>IF(AD36=3,AD35,IF(AD36=4,"no",AN35))</f>
        <v>28</v>
      </c>
      <c r="AN35" s="457">
        <f>IF(AD36=3,AD35,AO35)</f>
        <v>28</v>
      </c>
      <c r="AO35" s="457">
        <f>IF(AND(AD36=3,AB41=4),1,IF(AB41=3,"no",AP35))</f>
        <v>1</v>
      </c>
      <c r="AP35" s="457" t="str">
        <f>IF(AND(AD36=4,AB41=4),AD35,AQ35)</f>
        <v>no</v>
      </c>
      <c r="AQ35" s="457" t="str">
        <f>IF(AB41=5,AD35,AR35)</f>
        <v>no</v>
      </c>
      <c r="AR35" s="457" t="str">
        <f>IF(AB41=5,1,"no")</f>
        <v>no</v>
      </c>
      <c r="AS35" s="501">
        <f>FIND(AS34,AP34,1)</f>
        <v>6</v>
      </c>
      <c r="AT35" s="40" t="s">
        <v>427</v>
      </c>
      <c r="AU35" s="499" t="s">
        <v>682</v>
      </c>
      <c r="AV35" s="499" t="s">
        <v>588</v>
      </c>
      <c r="AW35" s="515" t="s">
        <v>527</v>
      </c>
      <c r="AX35" s="516"/>
      <c r="BD35" s="409">
        <f>AT34</f>
        <v>11</v>
      </c>
      <c r="BE35" s="38">
        <f>VLOOKUP($BD$35,$AT$37:$BP$55,11+BE34)</f>
        <v>3</v>
      </c>
      <c r="BF35" s="505">
        <f t="shared" ref="BF35:BP35" si="22">VLOOKUP($BD$35,$AT$37:$BP$55,11+BF34)</f>
        <v>2</v>
      </c>
      <c r="BG35" s="505">
        <f t="shared" si="22"/>
        <v>3</v>
      </c>
      <c r="BH35" s="505">
        <f t="shared" si="22"/>
        <v>2</v>
      </c>
      <c r="BI35" s="505">
        <f t="shared" si="22"/>
        <v>31</v>
      </c>
      <c r="BJ35" s="505">
        <f t="shared" si="22"/>
        <v>29</v>
      </c>
      <c r="BK35" s="505">
        <f t="shared" si="22"/>
        <v>29</v>
      </c>
      <c r="BL35" s="505">
        <f t="shared" si="22"/>
        <v>27</v>
      </c>
      <c r="BM35" s="505">
        <f t="shared" si="22"/>
        <v>26</v>
      </c>
      <c r="BN35" s="505">
        <f t="shared" si="22"/>
        <v>25</v>
      </c>
      <c r="BO35" s="505">
        <f t="shared" si="22"/>
        <v>24</v>
      </c>
      <c r="BP35" s="505">
        <f t="shared" si="22"/>
        <v>23</v>
      </c>
      <c r="BQ35" s="506" t="s">
        <v>427</v>
      </c>
      <c r="BT35" s="391">
        <v>42483</v>
      </c>
      <c r="BU35" s="38">
        <v>1.87</v>
      </c>
    </row>
    <row r="36" spans="1:73" ht="12.75" customHeight="1">
      <c r="B36" s="679"/>
      <c r="C36" s="152">
        <f>C35+1</f>
        <v>20</v>
      </c>
      <c r="D36" s="280">
        <f>J35+1</f>
        <v>13</v>
      </c>
      <c r="E36" s="280">
        <f t="shared" si="20"/>
        <v>14</v>
      </c>
      <c r="F36" s="280">
        <f t="shared" si="20"/>
        <v>15</v>
      </c>
      <c r="G36" s="280">
        <f t="shared" si="20"/>
        <v>16</v>
      </c>
      <c r="H36" s="280">
        <f t="shared" si="20"/>
        <v>17</v>
      </c>
      <c r="I36" s="280">
        <f t="shared" si="20"/>
        <v>18</v>
      </c>
      <c r="J36" s="281">
        <f t="shared" si="20"/>
        <v>19</v>
      </c>
      <c r="K36" s="74"/>
      <c r="L36" s="74"/>
      <c r="M36" s="62"/>
      <c r="N36" s="679"/>
      <c r="O36" s="152">
        <f>O35+1</f>
        <v>46</v>
      </c>
      <c r="P36" s="280">
        <f>V35+1</f>
        <v>11</v>
      </c>
      <c r="Q36" s="280">
        <f t="shared" si="21"/>
        <v>12</v>
      </c>
      <c r="R36" s="280">
        <f t="shared" si="21"/>
        <v>13</v>
      </c>
      <c r="S36" s="280">
        <f t="shared" si="21"/>
        <v>14</v>
      </c>
      <c r="T36" s="280">
        <f t="shared" si="21"/>
        <v>15</v>
      </c>
      <c r="U36" s="280">
        <f t="shared" si="21"/>
        <v>16</v>
      </c>
      <c r="V36" s="281">
        <f t="shared" si="21"/>
        <v>17</v>
      </c>
      <c r="W36" s="70"/>
      <c r="X36" s="70"/>
      <c r="Y36" s="42"/>
      <c r="Z36" s="643" t="s">
        <v>235</v>
      </c>
      <c r="AA36" s="643"/>
      <c r="AB36" s="643"/>
      <c r="AC36" s="43">
        <f>DAY(AC35)</f>
        <v>1</v>
      </c>
      <c r="AD36" s="43">
        <f>MONTH(Z37)</f>
        <v>3</v>
      </c>
      <c r="AE36" s="400">
        <f>AE34-16-AE35+2</f>
        <v>5</v>
      </c>
      <c r="AF36" s="43"/>
      <c r="AG36" s="403">
        <f>MOD(AD4,19)</f>
        <v>10</v>
      </c>
      <c r="AH36" s="43"/>
      <c r="AI36" s="43"/>
      <c r="AJ36" s="43">
        <f>IF($AH$32=3,$AG$31,"NO")</f>
        <v>31</v>
      </c>
      <c r="AK36" s="43">
        <f>IF(AJ36&lt;&gt;"NO",AJ36-2,IF(AK37&gt;0,"JHGJHH",AK35))</f>
        <v>29</v>
      </c>
      <c r="AL36" s="456" t="s">
        <v>730</v>
      </c>
      <c r="AM36" s="457">
        <f>IF(AND($AH$32=3,AB41=3),AA41,IF(AD36=4,"no",AN36))</f>
        <v>31</v>
      </c>
      <c r="AN36" s="457">
        <f>IF(AND(AD36=3,AB41=4),31,AO36)</f>
        <v>31</v>
      </c>
      <c r="AO36" s="457">
        <f>IF(AND(AD36=3,AB41=4),AA41,IF(AB41=3,"no",AP36))</f>
        <v>8</v>
      </c>
      <c r="AP36" s="457" t="str">
        <f>IF(AND(AD36=4,AB41=4),AA41,AQ36)</f>
        <v>no</v>
      </c>
      <c r="AQ36" s="457" t="str">
        <f>IF(AB41=5,30,AR36)</f>
        <v>no</v>
      </c>
      <c r="AR36" s="457" t="str">
        <f>IF(AB41=5,AA41,"no")</f>
        <v>no</v>
      </c>
      <c r="AU36" s="499" t="s">
        <v>709</v>
      </c>
      <c r="AV36" s="499" t="s">
        <v>709</v>
      </c>
      <c r="AW36" s="38" t="s">
        <v>414</v>
      </c>
      <c r="AX36" s="38" t="s">
        <v>415</v>
      </c>
      <c r="AY36" s="38" t="s">
        <v>416</v>
      </c>
      <c r="AZ36" s="38" t="s">
        <v>230</v>
      </c>
      <c r="BA36" s="38" t="s">
        <v>417</v>
      </c>
      <c r="BB36" s="38" t="s">
        <v>418</v>
      </c>
      <c r="BC36" s="38" t="s">
        <v>419</v>
      </c>
      <c r="BE36" s="38" t="s">
        <v>528</v>
      </c>
      <c r="BF36" s="38" t="s">
        <v>529</v>
      </c>
      <c r="BG36" s="38" t="s">
        <v>530</v>
      </c>
      <c r="BH36" s="38" t="s">
        <v>531</v>
      </c>
      <c r="BI36" s="38" t="s">
        <v>532</v>
      </c>
      <c r="BJ36" s="38" t="s">
        <v>533</v>
      </c>
      <c r="BK36" s="38" t="s">
        <v>534</v>
      </c>
      <c r="BL36" s="38" t="s">
        <v>535</v>
      </c>
      <c r="BM36" s="38" t="s">
        <v>536</v>
      </c>
      <c r="BN36" s="38" t="s">
        <v>537</v>
      </c>
      <c r="BO36" s="38" t="s">
        <v>538</v>
      </c>
      <c r="BP36" s="38" t="s">
        <v>539</v>
      </c>
      <c r="BQ36" s="505"/>
      <c r="BT36" s="391">
        <v>42484</v>
      </c>
      <c r="BU36" s="38">
        <v>1.45</v>
      </c>
    </row>
    <row r="37" spans="1:73" ht="12.75" customHeight="1">
      <c r="B37" s="679"/>
      <c r="C37" s="152">
        <f>C36+1</f>
        <v>21</v>
      </c>
      <c r="D37" s="280">
        <f>J36+1</f>
        <v>20</v>
      </c>
      <c r="E37" s="280">
        <f t="shared" si="20"/>
        <v>21</v>
      </c>
      <c r="F37" s="280">
        <f t="shared" si="20"/>
        <v>22</v>
      </c>
      <c r="G37" s="280">
        <f t="shared" si="20"/>
        <v>23</v>
      </c>
      <c r="H37" s="280">
        <f t="shared" si="20"/>
        <v>24</v>
      </c>
      <c r="I37" s="280">
        <f t="shared" si="20"/>
        <v>25</v>
      </c>
      <c r="J37" s="281">
        <f t="shared" si="20"/>
        <v>26</v>
      </c>
      <c r="K37" s="70"/>
      <c r="L37" s="70"/>
      <c r="M37" s="62"/>
      <c r="N37" s="679"/>
      <c r="O37" s="152">
        <f>O36+1</f>
        <v>47</v>
      </c>
      <c r="P37" s="280">
        <f>V36+1</f>
        <v>18</v>
      </c>
      <c r="Q37" s="280">
        <f t="shared" si="21"/>
        <v>19</v>
      </c>
      <c r="R37" s="280">
        <f t="shared" si="21"/>
        <v>20</v>
      </c>
      <c r="S37" s="280">
        <f t="shared" si="21"/>
        <v>21</v>
      </c>
      <c r="T37" s="280">
        <f t="shared" si="21"/>
        <v>22</v>
      </c>
      <c r="U37" s="280">
        <f t="shared" si="21"/>
        <v>23</v>
      </c>
      <c r="V37" s="281">
        <f t="shared" si="21"/>
        <v>24</v>
      </c>
      <c r="W37" s="73"/>
      <c r="X37" s="73"/>
      <c r="Y37" s="42"/>
      <c r="Z37" s="687">
        <f>Z34-3</f>
        <v>45379</v>
      </c>
      <c r="AA37" s="687"/>
      <c r="AB37" s="687"/>
      <c r="AC37" s="55">
        <f>WEEKDAY(Z37,2)</f>
        <v>4</v>
      </c>
      <c r="AD37" s="643" t="str">
        <f>IF(AC37=4,"DIJOUS"," ")</f>
        <v>DIJOUS</v>
      </c>
      <c r="AE37" s="643"/>
      <c r="AF37" s="43"/>
      <c r="AG37" s="401">
        <f>19*AG36+15</f>
        <v>205</v>
      </c>
      <c r="AH37" s="43"/>
      <c r="AI37" s="43" t="s">
        <v>402</v>
      </c>
      <c r="AJ37" s="43" t="str">
        <f>IF($AH$32=4,$AG$31,"NO")</f>
        <v>NO</v>
      </c>
      <c r="AK37" s="43" t="str">
        <f>IF(AJ37="NO","",AJ37-2)</f>
        <v/>
      </c>
      <c r="AL37" s="43"/>
      <c r="AM37" s="43"/>
      <c r="AN37" s="43"/>
      <c r="AQ37" s="40"/>
      <c r="AT37" s="38">
        <v>1</v>
      </c>
      <c r="AU37" s="391">
        <v>42452</v>
      </c>
      <c r="AV37" s="391">
        <f>AU37+13</f>
        <v>42465</v>
      </c>
      <c r="AW37" s="404">
        <f>BC37+1</f>
        <v>42469</v>
      </c>
      <c r="AX37" s="391">
        <f t="shared" ref="AX37:BC39" si="23">AW37+1</f>
        <v>42470</v>
      </c>
      <c r="AY37" s="391">
        <f t="shared" si="23"/>
        <v>42471</v>
      </c>
      <c r="AZ37" s="391">
        <f t="shared" si="23"/>
        <v>42472</v>
      </c>
      <c r="BA37" s="391">
        <f>AV37+1</f>
        <v>42466</v>
      </c>
      <c r="BB37" s="391">
        <f>BA37+1</f>
        <v>42467</v>
      </c>
      <c r="BC37" s="391">
        <f>BB37+1</f>
        <v>42468</v>
      </c>
      <c r="BD37" s="38" t="s">
        <v>540</v>
      </c>
      <c r="BE37" s="391" t="s">
        <v>541</v>
      </c>
      <c r="BF37" s="391" t="s">
        <v>542</v>
      </c>
      <c r="BG37" s="391" t="s">
        <v>543</v>
      </c>
      <c r="BH37" s="391" t="s">
        <v>544</v>
      </c>
      <c r="BI37" s="391" t="s">
        <v>545</v>
      </c>
      <c r="BJ37" s="391" t="s">
        <v>546</v>
      </c>
      <c r="BK37" s="391" t="s">
        <v>547</v>
      </c>
      <c r="BL37" s="391" t="s">
        <v>548</v>
      </c>
      <c r="BM37" s="391" t="s">
        <v>549</v>
      </c>
      <c r="BN37" s="391" t="s">
        <v>550</v>
      </c>
      <c r="BO37" s="38" t="s">
        <v>551</v>
      </c>
      <c r="BP37" s="38" t="s">
        <v>552</v>
      </c>
      <c r="BQ37" s="505">
        <v>1</v>
      </c>
      <c r="BT37" s="391">
        <v>42485</v>
      </c>
      <c r="BU37" s="38">
        <v>0.54</v>
      </c>
    </row>
    <row r="38" spans="1:73" ht="12.75" customHeight="1" thickBot="1">
      <c r="B38" s="679"/>
      <c r="C38" s="152">
        <f>C37+1</f>
        <v>22</v>
      </c>
      <c r="D38" s="284">
        <f>J37+1</f>
        <v>27</v>
      </c>
      <c r="E38" s="284">
        <f>D38+1</f>
        <v>28</v>
      </c>
      <c r="F38" s="284">
        <f>E38+1</f>
        <v>29</v>
      </c>
      <c r="G38" s="284">
        <f>IF(E38&lt;30,E38+2," ")</f>
        <v>30</v>
      </c>
      <c r="H38" s="284">
        <f>IF(E38&lt;29,E38+3," ")</f>
        <v>31</v>
      </c>
      <c r="I38" s="284" t="str">
        <f>IF(E38&lt;28,E38+4," ")</f>
        <v xml:space="preserve"> </v>
      </c>
      <c r="J38" s="285" t="str">
        <f>IF(E38&lt;27,E38+5," ")</f>
        <v xml:space="preserve"> </v>
      </c>
      <c r="K38" s="73"/>
      <c r="L38" s="73"/>
      <c r="M38" s="62"/>
      <c r="N38" s="679"/>
      <c r="O38" s="152">
        <f>O37+1</f>
        <v>48</v>
      </c>
      <c r="P38" s="284">
        <f>V37+1</f>
        <v>25</v>
      </c>
      <c r="Q38" s="284">
        <f>P38+1</f>
        <v>26</v>
      </c>
      <c r="R38" s="284">
        <f>IF(Q38&lt;30,Q38+1," ")</f>
        <v>27</v>
      </c>
      <c r="S38" s="284">
        <f>IF(Q38&lt;29,Q38+2," ")</f>
        <v>28</v>
      </c>
      <c r="T38" s="284">
        <f>IF(Q38&lt;28,Q38+3," ")</f>
        <v>29</v>
      </c>
      <c r="U38" s="284">
        <f>IF(Q38&lt;27,Q38+4," ")</f>
        <v>30</v>
      </c>
      <c r="V38" s="285" t="str">
        <f>IF(Q38&lt;26,Q38+5," ")</f>
        <v xml:space="preserve"> </v>
      </c>
      <c r="W38" s="74"/>
      <c r="X38" s="74"/>
      <c r="Z38" s="687">
        <f>Z37+1</f>
        <v>45380</v>
      </c>
      <c r="AA38" s="690"/>
      <c r="AB38" s="690"/>
      <c r="AC38" s="43">
        <f>DAY(Z38)</f>
        <v>29</v>
      </c>
      <c r="AD38" s="43"/>
      <c r="AE38" s="43"/>
      <c r="AF38" s="43"/>
      <c r="AG38" s="401">
        <f>19*AF24</f>
        <v>190</v>
      </c>
      <c r="AH38" s="43"/>
      <c r="AI38" s="43" t="str">
        <f>IF(AG39=5,AI39,"no")</f>
        <v>no</v>
      </c>
      <c r="AJ38" s="43"/>
      <c r="AK38" s="43"/>
      <c r="AL38" s="43"/>
      <c r="AM38" s="43"/>
      <c r="AN38" s="43"/>
      <c r="AQ38" s="40"/>
      <c r="AT38" s="38">
        <v>2</v>
      </c>
      <c r="AU38" s="391">
        <v>42441</v>
      </c>
      <c r="AV38" s="391">
        <f t="shared" ref="AV38:AV55" si="24">AU38+13</f>
        <v>42454</v>
      </c>
      <c r="AW38" s="391">
        <f>AV38+1</f>
        <v>42455</v>
      </c>
      <c r="AX38" s="391">
        <f t="shared" si="23"/>
        <v>42456</v>
      </c>
      <c r="AY38" s="391">
        <f t="shared" si="23"/>
        <v>42457</v>
      </c>
      <c r="AZ38" s="391">
        <f t="shared" si="23"/>
        <v>42458</v>
      </c>
      <c r="BA38" s="391">
        <f>AZ38+1</f>
        <v>42459</v>
      </c>
      <c r="BB38" s="391">
        <f>BA38+1</f>
        <v>42460</v>
      </c>
      <c r="BC38" s="391">
        <f>BB38+1</f>
        <v>42461</v>
      </c>
      <c r="BD38" s="38" t="s">
        <v>553</v>
      </c>
      <c r="BE38" s="38">
        <v>12</v>
      </c>
      <c r="BF38" s="38">
        <v>10</v>
      </c>
      <c r="BG38" s="38">
        <v>12</v>
      </c>
      <c r="BH38" s="38">
        <v>10</v>
      </c>
      <c r="BI38" s="38">
        <v>10</v>
      </c>
      <c r="BJ38" s="38">
        <v>8</v>
      </c>
      <c r="BK38" s="38">
        <v>8</v>
      </c>
      <c r="BL38" s="38">
        <v>6</v>
      </c>
      <c r="BM38" s="38">
        <v>5</v>
      </c>
      <c r="BN38" s="38">
        <v>4</v>
      </c>
      <c r="BO38" s="38">
        <v>3</v>
      </c>
      <c r="BP38" s="38">
        <v>2</v>
      </c>
      <c r="BQ38" s="505">
        <v>2</v>
      </c>
    </row>
    <row r="39" spans="1:73" ht="12.75" customHeight="1" thickTop="1" thickBot="1">
      <c r="B39" s="680"/>
      <c r="C39" s="155">
        <f>IF(D39=" ",C38,C38+1)</f>
        <v>22</v>
      </c>
      <c r="D39" s="282" t="str">
        <f>IF(J38&lt;31,J38+1," ")</f>
        <v xml:space="preserve"> </v>
      </c>
      <c r="E39" s="282" t="str">
        <f t="shared" ref="E39:J39" si="25">IF(D39&lt;31,D39+1," ")</f>
        <v xml:space="preserve"> </v>
      </c>
      <c r="F39" s="282" t="str">
        <f t="shared" si="25"/>
        <v xml:space="preserve"> </v>
      </c>
      <c r="G39" s="282" t="str">
        <f t="shared" si="25"/>
        <v xml:space="preserve"> </v>
      </c>
      <c r="H39" s="282" t="str">
        <f t="shared" si="25"/>
        <v xml:space="preserve"> </v>
      </c>
      <c r="I39" s="282" t="str">
        <f t="shared" si="25"/>
        <v xml:space="preserve"> </v>
      </c>
      <c r="J39" s="282" t="str">
        <f t="shared" si="25"/>
        <v xml:space="preserve"> </v>
      </c>
      <c r="K39" s="72"/>
      <c r="L39" s="72"/>
      <c r="M39" s="54">
        <f>SUM(K34:K39)</f>
        <v>0</v>
      </c>
      <c r="N39" s="680"/>
      <c r="O39" s="155">
        <f>IF(P39=" ",O38,O38+1)</f>
        <v>48</v>
      </c>
      <c r="P39" s="282" t="str">
        <f>IF(V38&lt;30,V38+1," ")</f>
        <v xml:space="preserve"> </v>
      </c>
      <c r="Q39" s="282" t="str">
        <f>IF(P39&lt;30,P39+1," ")</f>
        <v xml:space="preserve"> </v>
      </c>
      <c r="R39" s="282" t="str">
        <f>IF(Q39&lt;30,Q39+1," ")</f>
        <v xml:space="preserve"> </v>
      </c>
      <c r="S39" s="282" t="str">
        <f>IF(R39&lt;30,R39+1," ")</f>
        <v xml:space="preserve"> </v>
      </c>
      <c r="T39" s="282" t="str">
        <f>IF(S39&lt;30,S39+1," ")</f>
        <v xml:space="preserve"> </v>
      </c>
      <c r="U39" s="282" t="str">
        <f>IF(T39&lt;30,T39+1," ")</f>
        <v xml:space="preserve"> </v>
      </c>
      <c r="V39" s="282" t="str">
        <f>IF(U39&lt;30,U39+1," ")</f>
        <v xml:space="preserve"> </v>
      </c>
      <c r="W39" s="72"/>
      <c r="X39" s="72"/>
      <c r="Y39" s="54">
        <f>SUM(W34:W39)</f>
        <v>0</v>
      </c>
      <c r="Z39" s="643" t="s">
        <v>236</v>
      </c>
      <c r="AA39" s="643"/>
      <c r="AB39" s="643"/>
      <c r="AC39" s="43"/>
      <c r="AD39" s="43" t="s">
        <v>554</v>
      </c>
      <c r="AE39" s="43">
        <f>MONTH(AD40)</f>
        <v>5</v>
      </c>
      <c r="AF39" s="43" t="str">
        <f>IF(AE39=4,AE41,"no")</f>
        <v>no</v>
      </c>
      <c r="AG39" s="43">
        <f>IF(V4&gt;1263,MONTH(AH39),"no")</f>
        <v>6</v>
      </c>
      <c r="AH39" s="357">
        <f>$Q$59</f>
        <v>45445</v>
      </c>
      <c r="AI39" s="43">
        <f>IF(V4&gt;1263,DAY(AH39),"no")</f>
        <v>2</v>
      </c>
      <c r="AJ39" s="43"/>
      <c r="AK39" s="43" t="s">
        <v>555</v>
      </c>
      <c r="AL39" s="43"/>
      <c r="AM39" s="43"/>
      <c r="AN39" s="43"/>
      <c r="AQ39" s="40"/>
      <c r="AT39" s="38">
        <v>3</v>
      </c>
      <c r="AU39" s="391">
        <v>42460</v>
      </c>
      <c r="AV39" s="391">
        <f t="shared" si="24"/>
        <v>42473</v>
      </c>
      <c r="AW39" s="391">
        <f t="shared" ref="AW39:AW44" si="26">BC39+1</f>
        <v>42476</v>
      </c>
      <c r="AX39" s="391">
        <f t="shared" si="23"/>
        <v>42477</v>
      </c>
      <c r="AY39" s="391">
        <f t="shared" si="23"/>
        <v>42478</v>
      </c>
      <c r="AZ39" s="391">
        <f t="shared" si="23"/>
        <v>42479</v>
      </c>
      <c r="BA39" s="391">
        <f t="shared" si="23"/>
        <v>42480</v>
      </c>
      <c r="BB39" s="391">
        <f>AV39+1</f>
        <v>42474</v>
      </c>
      <c r="BC39" s="391">
        <f t="shared" si="23"/>
        <v>42475</v>
      </c>
      <c r="BD39" s="38" t="s">
        <v>540</v>
      </c>
      <c r="BE39" s="38">
        <v>31</v>
      </c>
      <c r="BF39" s="38">
        <v>0</v>
      </c>
      <c r="BG39" s="38">
        <v>31</v>
      </c>
      <c r="BH39" s="38">
        <v>29</v>
      </c>
      <c r="BI39" s="38">
        <v>29</v>
      </c>
      <c r="BJ39" s="38">
        <v>27</v>
      </c>
      <c r="BK39" s="38">
        <v>27</v>
      </c>
      <c r="BL39" s="38">
        <v>25</v>
      </c>
      <c r="BM39" s="38">
        <v>24</v>
      </c>
      <c r="BN39" s="38">
        <v>23</v>
      </c>
      <c r="BO39" s="38">
        <v>22</v>
      </c>
      <c r="BP39" s="38">
        <v>21</v>
      </c>
      <c r="BQ39" s="505">
        <v>3</v>
      </c>
    </row>
    <row r="40" spans="1:73" ht="12.75" customHeight="1" thickTop="1">
      <c r="B40" s="678" t="s">
        <v>259</v>
      </c>
      <c r="C40" s="151">
        <f>IF(D40&lt;&gt;" ",C39+1,C39)</f>
        <v>22</v>
      </c>
      <c r="D40" s="278" t="str">
        <f>IF($AB$12=1,1," ")</f>
        <v xml:space="preserve"> </v>
      </c>
      <c r="E40" s="278" t="str">
        <f>IF($AB$12=2,1,IF(D40=1,D40+1," "))</f>
        <v xml:space="preserve"> </v>
      </c>
      <c r="F40" s="278" t="str">
        <f>IF($AB$12=3,1,IF(D40=1,D40+2,IF(E40=1,E40+1," ")))</f>
        <v xml:space="preserve"> </v>
      </c>
      <c r="G40" s="278" t="str">
        <f>IF($AB$12=4,1,IF($D40=1,$D40+3,IF($E40=1,$E40+2,IF($F40=1,$F40+1," "))))</f>
        <v xml:space="preserve"> </v>
      </c>
      <c r="H40" s="286" t="str">
        <f>IF($AB$12=5,1,IF($D40=1,$D40+4,IF($E40=1,$E40+3,IF($F40=1,$F40+2,IF($G40=1,$G40+1," ")))))</f>
        <v xml:space="preserve"> </v>
      </c>
      <c r="I40" s="278">
        <f>IF($AB$12=6,1,IF($D40=1,$D40+5,IF($E40=1,$E40+4,IF($F40=1,$F40+3,IF($G40=1,$G40+2,IF($H40=1,H40+1," "))))))</f>
        <v>1</v>
      </c>
      <c r="J40" s="279">
        <f>IF($AB$12=0,1,IF($D40=1,$D40+6,IF($E40=1,$E40+5,IF($F40=1,$F40+4,IF($G40=1,$G40+3,IF($H40=1,$H40+2,IF($I40=1,$I40+1," ")))))))</f>
        <v>2</v>
      </c>
      <c r="K40" s="73"/>
      <c r="L40" s="73"/>
      <c r="M40" s="62"/>
      <c r="N40" s="678" t="s">
        <v>264</v>
      </c>
      <c r="O40" s="151">
        <f>IF(P40&lt;&gt;" ",O39+1,O39)</f>
        <v>48</v>
      </c>
      <c r="P40" s="278" t="str">
        <f>IF($AB$18=1,1," ")</f>
        <v xml:space="preserve"> </v>
      </c>
      <c r="Q40" s="278" t="str">
        <f>IF($AB$18=2,1,IF(P40=1,P40+1," "))</f>
        <v xml:space="preserve"> </v>
      </c>
      <c r="R40" s="278" t="str">
        <f>IF($AB$18=3,1,IF(P40=1,P40+2,IF(Q40=1,Q40+1," ")))</f>
        <v xml:space="preserve"> </v>
      </c>
      <c r="S40" s="278" t="str">
        <f>IF($AB$18=4,1,IF($P40=1,$P40+3,IF($Q40=1,$Q40+2,IF($R40=1,$R40+1," "))))</f>
        <v xml:space="preserve"> </v>
      </c>
      <c r="T40" s="286" t="str">
        <f>IF($AB$18=5,1,IF($P40=1,$P40+4,IF($Q40=1,$Q40+3,IF($R40=1,$R40+2,IF($S40=1,$S40+1," ")))))</f>
        <v xml:space="preserve"> </v>
      </c>
      <c r="U40" s="278" t="str">
        <f>IF($AB$18=6,1,IF($P40=1,$P40+5,IF($Q40=1,$Q40+4,IF($R40=1,$R40+3,IF($S40=1,$S40+2,IF($T40=1,T40+1," "))))))</f>
        <v xml:space="preserve"> </v>
      </c>
      <c r="V40" s="279">
        <f>IF($AB$18=0,1,IF($P40=1,$P40+6,IF($Q40=1,$Q40+5,IF($R40=1,$R40+4,IF($S40=1,$S40+3,IF($T40=1,$T40+2,IF($U40=1,$U40+1," ")))))))</f>
        <v>1</v>
      </c>
      <c r="W40" s="73"/>
      <c r="X40" s="73"/>
      <c r="Y40" s="42"/>
      <c r="Z40" s="687">
        <f>Z34+8</f>
        <v>45390</v>
      </c>
      <c r="AA40" s="687"/>
      <c r="AB40" s="687"/>
      <c r="AC40" s="55">
        <f>WEEKDAY(Z40,2)</f>
        <v>1</v>
      </c>
      <c r="AD40" s="687">
        <f>$R$62</f>
        <v>45424</v>
      </c>
      <c r="AE40" s="687"/>
      <c r="AF40" s="43">
        <f>IF(AE39=5,AE41,"no")</f>
        <v>12</v>
      </c>
      <c r="AG40" s="43"/>
      <c r="AH40" s="43"/>
      <c r="AI40" s="43">
        <f>IF(AG39=6,AI39,"no")</f>
        <v>2</v>
      </c>
      <c r="AJ40" s="43">
        <f>MONTH(AK40)</f>
        <v>5</v>
      </c>
      <c r="AK40" s="150">
        <f>H59</f>
        <v>45431</v>
      </c>
      <c r="AL40" s="43"/>
      <c r="AM40" s="43"/>
      <c r="AN40" s="43"/>
      <c r="AQ40" s="40"/>
      <c r="AT40" s="38">
        <v>4</v>
      </c>
      <c r="AU40" s="391">
        <v>42449</v>
      </c>
      <c r="AV40" s="391">
        <f t="shared" si="24"/>
        <v>42462</v>
      </c>
      <c r="AW40" s="391">
        <f t="shared" si="26"/>
        <v>42469</v>
      </c>
      <c r="AX40" s="391">
        <f>AV40+1</f>
        <v>42463</v>
      </c>
      <c r="AY40" s="391">
        <f>AX40+1</f>
        <v>42464</v>
      </c>
      <c r="AZ40" s="391">
        <f>AY40+1</f>
        <v>42465</v>
      </c>
      <c r="BA40" s="391">
        <f>AZ40+1</f>
        <v>42466</v>
      </c>
      <c r="BB40" s="391">
        <f>BA40+1</f>
        <v>42467</v>
      </c>
      <c r="BC40" s="391">
        <f>BB40+1</f>
        <v>42468</v>
      </c>
      <c r="BD40" s="38" t="s">
        <v>540</v>
      </c>
      <c r="BE40" s="38">
        <v>20</v>
      </c>
      <c r="BF40" s="38">
        <v>18</v>
      </c>
      <c r="BG40" s="38">
        <v>20</v>
      </c>
      <c r="BH40" s="38">
        <v>18</v>
      </c>
      <c r="BI40" s="38">
        <v>18</v>
      </c>
      <c r="BJ40" s="38">
        <v>16</v>
      </c>
      <c r="BK40" s="38">
        <v>16</v>
      </c>
      <c r="BL40" s="38">
        <v>14</v>
      </c>
      <c r="BM40" s="38">
        <v>13</v>
      </c>
      <c r="BN40" s="38">
        <v>12</v>
      </c>
      <c r="BO40" s="38">
        <v>11</v>
      </c>
      <c r="BP40" s="38">
        <v>10</v>
      </c>
      <c r="BQ40" s="505">
        <v>4</v>
      </c>
    </row>
    <row r="41" spans="1:73" ht="12.75" customHeight="1">
      <c r="B41" s="679"/>
      <c r="C41" s="156">
        <f>C40+1</f>
        <v>23</v>
      </c>
      <c r="D41" s="280">
        <f>J40+1</f>
        <v>3</v>
      </c>
      <c r="E41" s="280">
        <f t="shared" ref="E41:J43" si="27">D41+1</f>
        <v>4</v>
      </c>
      <c r="F41" s="280">
        <f t="shared" si="27"/>
        <v>5</v>
      </c>
      <c r="G41" s="280">
        <f t="shared" si="27"/>
        <v>6</v>
      </c>
      <c r="H41" s="287">
        <f t="shared" si="27"/>
        <v>7</v>
      </c>
      <c r="I41" s="280">
        <f t="shared" si="27"/>
        <v>8</v>
      </c>
      <c r="J41" s="281">
        <f t="shared" si="27"/>
        <v>9</v>
      </c>
      <c r="K41" s="70"/>
      <c r="L41" s="70"/>
      <c r="M41" s="62"/>
      <c r="N41" s="679"/>
      <c r="O41" s="156">
        <f>O40+1</f>
        <v>49</v>
      </c>
      <c r="P41" s="280">
        <f>V40+1</f>
        <v>2</v>
      </c>
      <c r="Q41" s="280">
        <f t="shared" ref="Q41:V43" si="28">P41+1</f>
        <v>3</v>
      </c>
      <c r="R41" s="280">
        <f t="shared" si="28"/>
        <v>4</v>
      </c>
      <c r="S41" s="280">
        <f t="shared" si="28"/>
        <v>5</v>
      </c>
      <c r="T41" s="287">
        <f t="shared" si="28"/>
        <v>6</v>
      </c>
      <c r="U41" s="280">
        <f t="shared" si="28"/>
        <v>7</v>
      </c>
      <c r="V41" s="281">
        <f t="shared" si="28"/>
        <v>8</v>
      </c>
      <c r="W41" s="74"/>
      <c r="X41" s="74"/>
      <c r="Y41" s="42"/>
      <c r="Z41" s="43"/>
      <c r="AA41" s="43">
        <f>DAY(Z40)</f>
        <v>8</v>
      </c>
      <c r="AB41" s="43">
        <f>MONTH(Z40)</f>
        <v>4</v>
      </c>
      <c r="AC41" s="43"/>
      <c r="AD41" s="43"/>
      <c r="AE41" s="43">
        <f>DAY(AD40)</f>
        <v>12</v>
      </c>
      <c r="AF41" s="43" t="str">
        <f>IF(AE39=6,AF39,"no")</f>
        <v>no</v>
      </c>
      <c r="AG41" s="43"/>
      <c r="AH41" s="43"/>
      <c r="AI41" s="43"/>
      <c r="AJ41" s="43">
        <f>DAY(AK40)</f>
        <v>19</v>
      </c>
      <c r="AK41" s="43" t="s">
        <v>296</v>
      </c>
      <c r="AL41" s="43">
        <f>IF(AJ40=5,AJ41,"no")</f>
        <v>19</v>
      </c>
      <c r="AM41" s="43"/>
      <c r="AN41" s="43"/>
      <c r="AQ41" s="40"/>
      <c r="AT41" s="38">
        <v>5</v>
      </c>
      <c r="AU41" s="391">
        <v>42438</v>
      </c>
      <c r="AV41" s="391">
        <f t="shared" si="24"/>
        <v>42451</v>
      </c>
      <c r="AW41" s="391">
        <f t="shared" si="26"/>
        <v>42455</v>
      </c>
      <c r="AX41" s="391">
        <f t="shared" ref="AX41:BC45" si="29">AW41+1</f>
        <v>42456</v>
      </c>
      <c r="AY41" s="391">
        <f t="shared" si="29"/>
        <v>42457</v>
      </c>
      <c r="AZ41" s="391">
        <f t="shared" si="29"/>
        <v>42458</v>
      </c>
      <c r="BA41" s="391">
        <f>AV41+1</f>
        <v>42452</v>
      </c>
      <c r="BB41" s="391">
        <f t="shared" si="29"/>
        <v>42453</v>
      </c>
      <c r="BC41" s="391">
        <f t="shared" si="29"/>
        <v>42454</v>
      </c>
      <c r="BD41" s="38" t="s">
        <v>553</v>
      </c>
      <c r="BE41" s="38">
        <v>9</v>
      </c>
      <c r="BF41" s="38">
        <v>7</v>
      </c>
      <c r="BG41" s="38">
        <v>9</v>
      </c>
      <c r="BH41" s="38">
        <v>7</v>
      </c>
      <c r="BI41" s="38">
        <v>7</v>
      </c>
      <c r="BJ41" s="38">
        <v>5</v>
      </c>
      <c r="BK41" s="38">
        <v>5</v>
      </c>
      <c r="BL41" s="38">
        <v>3</v>
      </c>
      <c r="BM41" s="38">
        <v>2</v>
      </c>
      <c r="BN41" s="38">
        <v>31</v>
      </c>
      <c r="BO41" s="38">
        <v>30</v>
      </c>
      <c r="BP41" s="38">
        <v>29</v>
      </c>
      <c r="BQ41" s="505">
        <v>5</v>
      </c>
    </row>
    <row r="42" spans="1:73" ht="12.75" customHeight="1">
      <c r="B42" s="679"/>
      <c r="C42" s="152">
        <f>C41+1</f>
        <v>24</v>
      </c>
      <c r="D42" s="280">
        <f>J41+1</f>
        <v>10</v>
      </c>
      <c r="E42" s="280">
        <f t="shared" si="27"/>
        <v>11</v>
      </c>
      <c r="F42" s="284">
        <f t="shared" si="27"/>
        <v>12</v>
      </c>
      <c r="G42" s="280">
        <f t="shared" si="27"/>
        <v>13</v>
      </c>
      <c r="H42" s="288">
        <f t="shared" si="27"/>
        <v>14</v>
      </c>
      <c r="I42" s="280">
        <f t="shared" si="27"/>
        <v>15</v>
      </c>
      <c r="J42" s="281">
        <f t="shared" si="27"/>
        <v>16</v>
      </c>
      <c r="K42" s="74"/>
      <c r="L42" s="74"/>
      <c r="M42" s="62"/>
      <c r="N42" s="679"/>
      <c r="O42" s="152">
        <f>O41+1</f>
        <v>50</v>
      </c>
      <c r="P42" s="280">
        <f>V41+1</f>
        <v>9</v>
      </c>
      <c r="Q42" s="280">
        <f t="shared" si="28"/>
        <v>10</v>
      </c>
      <c r="R42" s="284">
        <f t="shared" si="28"/>
        <v>11</v>
      </c>
      <c r="S42" s="280">
        <f t="shared" si="28"/>
        <v>12</v>
      </c>
      <c r="T42" s="288">
        <f t="shared" si="28"/>
        <v>13</v>
      </c>
      <c r="U42" s="280">
        <f t="shared" si="28"/>
        <v>14</v>
      </c>
      <c r="V42" s="281">
        <f t="shared" si="28"/>
        <v>15</v>
      </c>
      <c r="W42" s="70"/>
      <c r="X42" s="70"/>
      <c r="Y42" s="42"/>
      <c r="Z42" s="643" t="s">
        <v>238</v>
      </c>
      <c r="AA42" s="643"/>
      <c r="AB42" s="643"/>
      <c r="AC42" s="43"/>
      <c r="AD42" s="43"/>
      <c r="AE42" s="43"/>
      <c r="AF42" s="43"/>
      <c r="AG42" s="43"/>
      <c r="AH42" s="43"/>
      <c r="AI42" s="687">
        <f>C53</f>
        <v>45336</v>
      </c>
      <c r="AJ42" s="638"/>
      <c r="AK42" s="43" t="s">
        <v>298</v>
      </c>
      <c r="AL42" s="43" t="str">
        <f>IF(AJ40=6,AJ41,"no")</f>
        <v>no</v>
      </c>
      <c r="AM42" s="43"/>
      <c r="AN42" s="43"/>
      <c r="AQ42" s="40"/>
      <c r="AT42" s="38">
        <v>6</v>
      </c>
      <c r="AU42" s="391">
        <v>42457</v>
      </c>
      <c r="AV42" s="391">
        <f t="shared" si="24"/>
        <v>42470</v>
      </c>
      <c r="AW42" s="391">
        <f t="shared" si="26"/>
        <v>42476</v>
      </c>
      <c r="AX42" s="391">
        <f t="shared" si="29"/>
        <v>42477</v>
      </c>
      <c r="AY42" s="391">
        <f>AV42+1</f>
        <v>42471</v>
      </c>
      <c r="AZ42" s="391">
        <f t="shared" si="29"/>
        <v>42472</v>
      </c>
      <c r="BA42" s="391">
        <f t="shared" si="29"/>
        <v>42473</v>
      </c>
      <c r="BB42" s="391">
        <f t="shared" si="29"/>
        <v>42474</v>
      </c>
      <c r="BC42" s="391">
        <f t="shared" si="29"/>
        <v>42475</v>
      </c>
      <c r="BD42" s="38" t="s">
        <v>540</v>
      </c>
      <c r="BE42" s="38">
        <v>28</v>
      </c>
      <c r="BF42" s="38">
        <v>26</v>
      </c>
      <c r="BG42" s="38">
        <v>28</v>
      </c>
      <c r="BH42" s="38">
        <v>26</v>
      </c>
      <c r="BI42" s="38">
        <v>26</v>
      </c>
      <c r="BJ42" s="38">
        <v>24</v>
      </c>
      <c r="BK42" s="38">
        <v>24</v>
      </c>
      <c r="BL42" s="38">
        <v>22</v>
      </c>
      <c r="BM42" s="38">
        <v>21</v>
      </c>
      <c r="BN42" s="38">
        <v>20</v>
      </c>
      <c r="BO42" s="38">
        <v>19</v>
      </c>
      <c r="BP42" s="38">
        <v>18</v>
      </c>
      <c r="BQ42" s="505">
        <v>6</v>
      </c>
    </row>
    <row r="43" spans="1:73" ht="12.75" customHeight="1">
      <c r="B43" s="679"/>
      <c r="C43" s="152">
        <f>C42+1</f>
        <v>25</v>
      </c>
      <c r="D43" s="280">
        <f>J42+1</f>
        <v>17</v>
      </c>
      <c r="E43" s="280">
        <f t="shared" si="27"/>
        <v>18</v>
      </c>
      <c r="F43" s="280">
        <f t="shared" si="27"/>
        <v>19</v>
      </c>
      <c r="G43" s="280">
        <f t="shared" si="27"/>
        <v>20</v>
      </c>
      <c r="H43" s="280">
        <f t="shared" si="27"/>
        <v>21</v>
      </c>
      <c r="I43" s="280">
        <f t="shared" si="27"/>
        <v>22</v>
      </c>
      <c r="J43" s="281">
        <f t="shared" si="27"/>
        <v>23</v>
      </c>
      <c r="K43" s="70"/>
      <c r="L43" s="70"/>
      <c r="M43" s="62"/>
      <c r="N43" s="679"/>
      <c r="O43" s="152">
        <f>O42+1</f>
        <v>51</v>
      </c>
      <c r="P43" s="280">
        <f>V42+1</f>
        <v>16</v>
      </c>
      <c r="Q43" s="280">
        <f t="shared" si="28"/>
        <v>17</v>
      </c>
      <c r="R43" s="280">
        <f t="shared" si="28"/>
        <v>18</v>
      </c>
      <c r="S43" s="280">
        <f t="shared" si="28"/>
        <v>19</v>
      </c>
      <c r="T43" s="280">
        <f t="shared" si="28"/>
        <v>20</v>
      </c>
      <c r="U43" s="280">
        <f t="shared" si="28"/>
        <v>21</v>
      </c>
      <c r="V43" s="281">
        <f t="shared" si="28"/>
        <v>22</v>
      </c>
      <c r="W43" s="74"/>
      <c r="X43" s="74"/>
      <c r="Z43" s="687">
        <f>Z34+50</f>
        <v>45432</v>
      </c>
      <c r="AA43" s="687"/>
      <c r="AB43" s="687"/>
      <c r="AC43" s="55">
        <f>WEEKDAY(Z43,2)</f>
        <v>1</v>
      </c>
      <c r="AD43" s="643" t="str">
        <f>IF(AC43=1,"DILLUNS"," ")</f>
        <v>DILLUNS</v>
      </c>
      <c r="AE43" s="643"/>
      <c r="AF43" s="43"/>
      <c r="AG43" s="43"/>
      <c r="AH43" s="43"/>
      <c r="AI43" s="43">
        <f>DAY(AI42)</f>
        <v>14</v>
      </c>
      <c r="AJ43" s="43"/>
      <c r="AK43" s="43"/>
      <c r="AL43" s="43"/>
      <c r="AM43" s="43"/>
      <c r="AN43" s="43"/>
      <c r="AQ43" s="40"/>
      <c r="AT43" s="38">
        <v>7</v>
      </c>
      <c r="AU43" s="391">
        <v>42446</v>
      </c>
      <c r="AV43" s="391">
        <f t="shared" si="24"/>
        <v>42459</v>
      </c>
      <c r="AW43" s="391">
        <f t="shared" si="26"/>
        <v>42462</v>
      </c>
      <c r="AX43" s="391">
        <f t="shared" si="29"/>
        <v>42463</v>
      </c>
      <c r="AY43" s="391">
        <f t="shared" si="29"/>
        <v>42464</v>
      </c>
      <c r="AZ43" s="391">
        <f t="shared" si="29"/>
        <v>42465</v>
      </c>
      <c r="BA43" s="391">
        <f t="shared" si="29"/>
        <v>42466</v>
      </c>
      <c r="BB43" s="391">
        <f>AV43+1</f>
        <v>42460</v>
      </c>
      <c r="BC43" s="391">
        <f t="shared" si="29"/>
        <v>42461</v>
      </c>
      <c r="BD43" s="38" t="s">
        <v>540</v>
      </c>
      <c r="BE43" s="38">
        <v>17</v>
      </c>
      <c r="BF43" s="38">
        <v>15</v>
      </c>
      <c r="BG43" s="38">
        <v>17</v>
      </c>
      <c r="BH43" s="38">
        <v>15</v>
      </c>
      <c r="BI43" s="38">
        <v>15</v>
      </c>
      <c r="BJ43" s="38">
        <v>13</v>
      </c>
      <c r="BK43" s="38">
        <v>13</v>
      </c>
      <c r="BL43" s="38">
        <v>11</v>
      </c>
      <c r="BM43" s="38">
        <v>10</v>
      </c>
      <c r="BN43" s="38">
        <v>9</v>
      </c>
      <c r="BO43" s="38">
        <v>8</v>
      </c>
      <c r="BP43" s="38">
        <v>7</v>
      </c>
      <c r="BQ43" s="505">
        <v>7</v>
      </c>
    </row>
    <row r="44" spans="1:73" ht="12.75" customHeight="1" thickBot="1">
      <c r="B44" s="679"/>
      <c r="C44" s="152">
        <f>C43+1</f>
        <v>26</v>
      </c>
      <c r="D44" s="280">
        <f>J43+1</f>
        <v>24</v>
      </c>
      <c r="E44" s="280">
        <f>D44+1</f>
        <v>25</v>
      </c>
      <c r="F44" s="289">
        <f>IF(E44&lt;30,E44+1," ")</f>
        <v>26</v>
      </c>
      <c r="G44" s="280">
        <f>IF(E44&lt;29,E44+2," ")</f>
        <v>27</v>
      </c>
      <c r="H44" s="289">
        <f>IF(E44&lt;28,E44+3," ")</f>
        <v>28</v>
      </c>
      <c r="I44" s="280">
        <f>IF(E44&lt;27,E44+4," ")</f>
        <v>29</v>
      </c>
      <c r="J44" s="281">
        <f>IF(E44&lt;26,E44+5," ")</f>
        <v>30</v>
      </c>
      <c r="K44" s="74"/>
      <c r="L44" s="74"/>
      <c r="M44" s="62"/>
      <c r="N44" s="679"/>
      <c r="O44" s="152">
        <f>O43+1</f>
        <v>52</v>
      </c>
      <c r="P44" s="280">
        <f>V43+1</f>
        <v>23</v>
      </c>
      <c r="Q44" s="280">
        <f>P44+1</f>
        <v>24</v>
      </c>
      <c r="R44" s="289">
        <f>IF(Q44&lt;31,Q44+1," ")</f>
        <v>25</v>
      </c>
      <c r="S44" s="280">
        <f>IF(Q44&lt;30,Q44+2," ")</f>
        <v>26</v>
      </c>
      <c r="T44" s="289">
        <f>IF(Q44&lt;29,Q44+3," ")</f>
        <v>27</v>
      </c>
      <c r="U44" s="280">
        <f>IF(Q44&lt;28,Q44+4," ")</f>
        <v>28</v>
      </c>
      <c r="V44" s="281">
        <f>IF(Q44&lt;27,Q44+5," ")</f>
        <v>29</v>
      </c>
      <c r="W44" s="74"/>
      <c r="X44" s="74"/>
      <c r="Z44" s="43">
        <f>DAY(Z43)</f>
        <v>20</v>
      </c>
      <c r="AA44" s="43">
        <f>MONTH(Z43)</f>
        <v>5</v>
      </c>
      <c r="AB44" s="43"/>
      <c r="AC44" s="43"/>
      <c r="AD44" s="43">
        <f>IF(AA44=5,Z44,"NO")</f>
        <v>20</v>
      </c>
      <c r="AE44" s="43" t="str">
        <f>IF(AA44=6,Z44,"NO")</f>
        <v>NO</v>
      </c>
      <c r="AF44" s="43"/>
      <c r="AG44" s="43"/>
      <c r="AH44" s="43"/>
      <c r="AI44" s="43"/>
      <c r="AJ44" s="43"/>
      <c r="AK44" s="43"/>
      <c r="AL44" s="43"/>
      <c r="AM44" s="43"/>
      <c r="AN44" s="43"/>
      <c r="AQ44" s="40"/>
      <c r="AT44" s="38">
        <v>8</v>
      </c>
      <c r="AU44" s="391">
        <v>42465</v>
      </c>
      <c r="AV44" s="391">
        <f t="shared" si="24"/>
        <v>42478</v>
      </c>
      <c r="AW44" s="391">
        <f t="shared" si="26"/>
        <v>42483</v>
      </c>
      <c r="AX44" s="391">
        <f t="shared" si="29"/>
        <v>42484</v>
      </c>
      <c r="AY44" s="391">
        <f t="shared" si="29"/>
        <v>42485</v>
      </c>
      <c r="AZ44" s="391">
        <f>AV44+1</f>
        <v>42479</v>
      </c>
      <c r="BA44" s="391">
        <f>AZ44+1</f>
        <v>42480</v>
      </c>
      <c r="BB44" s="391">
        <f>BA44+1</f>
        <v>42481</v>
      </c>
      <c r="BC44" s="391">
        <f>BB44+1</f>
        <v>42482</v>
      </c>
      <c r="BD44" s="38" t="s">
        <v>553</v>
      </c>
      <c r="BE44" s="38">
        <v>6</v>
      </c>
      <c r="BF44" s="38">
        <v>4</v>
      </c>
      <c r="BG44" s="38">
        <v>6</v>
      </c>
      <c r="BH44" s="38">
        <v>5</v>
      </c>
      <c r="BI44" s="38">
        <v>4</v>
      </c>
      <c r="BJ44" s="38">
        <v>3</v>
      </c>
      <c r="BK44" s="38">
        <v>2</v>
      </c>
      <c r="BL44" s="38">
        <v>30</v>
      </c>
      <c r="BM44" s="38">
        <v>29</v>
      </c>
      <c r="BN44" s="38">
        <v>28</v>
      </c>
      <c r="BO44" s="38">
        <v>27</v>
      </c>
      <c r="BP44" s="38">
        <v>26</v>
      </c>
      <c r="BQ44" s="505">
        <v>8</v>
      </c>
    </row>
    <row r="45" spans="1:73" ht="12.75" customHeight="1" thickTop="1" thickBot="1">
      <c r="B45" s="680"/>
      <c r="C45" s="155">
        <f>IF(D45=" ",C44,C44+1)</f>
        <v>26</v>
      </c>
      <c r="D45" s="282" t="str">
        <f>IF(J44&lt;30,J44+1," ")</f>
        <v xml:space="preserve"> </v>
      </c>
      <c r="E45" s="282" t="str">
        <f>IF(D45&lt;30,D45+1," ")</f>
        <v xml:space="preserve"> </v>
      </c>
      <c r="F45" s="282" t="str">
        <f>IF(E45&lt;30,E45+1," ")</f>
        <v xml:space="preserve"> </v>
      </c>
      <c r="G45" s="282" t="str">
        <f>IF(F45&lt;30,F45+1," ")</f>
        <v xml:space="preserve"> </v>
      </c>
      <c r="H45" s="282" t="str">
        <f>IF(G45&lt;30,G45+1," ")</f>
        <v xml:space="preserve"> </v>
      </c>
      <c r="I45" s="282" t="str">
        <f>IF(H45&lt;30,H45+1," ")</f>
        <v xml:space="preserve"> </v>
      </c>
      <c r="J45" s="282" t="str">
        <f>IF(I45&lt;30,I45+1," ")</f>
        <v xml:space="preserve"> </v>
      </c>
      <c r="K45" s="72"/>
      <c r="L45" s="72"/>
      <c r="M45" s="54">
        <f>SUM(K40:K45)</f>
        <v>0</v>
      </c>
      <c r="N45" s="680"/>
      <c r="O45" s="155">
        <f>IF(P45=" ",O44,O44+1)</f>
        <v>53</v>
      </c>
      <c r="P45" s="282">
        <f>IF(V44&lt;31,V44+1," ")</f>
        <v>30</v>
      </c>
      <c r="Q45" s="282">
        <f>IF(P45&lt;31,P45+1," ")</f>
        <v>31</v>
      </c>
      <c r="R45" s="282" t="str">
        <f>IF(Q45&lt;31,Q45+1," ")</f>
        <v xml:space="preserve"> </v>
      </c>
      <c r="S45" s="282" t="str">
        <f>IF(R45&lt;31,R45+1," ")</f>
        <v xml:space="preserve"> </v>
      </c>
      <c r="T45" s="282" t="str">
        <f>IF(S45&lt;31,S45+1," ")</f>
        <v xml:space="preserve"> </v>
      </c>
      <c r="U45" s="282" t="str">
        <f>IF(T45&lt;31,T45+1," ")</f>
        <v xml:space="preserve"> </v>
      </c>
      <c r="V45" s="282" t="str">
        <f>IF(U45&lt;31,U45+1," ")</f>
        <v xml:space="preserve"> </v>
      </c>
      <c r="W45" s="74"/>
      <c r="X45" s="74"/>
      <c r="Y45" s="54">
        <f>SUM(W40:W45)</f>
        <v>0</v>
      </c>
      <c r="Z45" s="688" t="s">
        <v>239</v>
      </c>
      <c r="AA45" s="688"/>
      <c r="AB45" s="688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Q45" s="40"/>
      <c r="AT45" s="38">
        <v>9</v>
      </c>
      <c r="AU45" s="391">
        <v>42454</v>
      </c>
      <c r="AV45" s="391">
        <f t="shared" si="24"/>
        <v>42467</v>
      </c>
      <c r="AW45" s="391">
        <v>42469</v>
      </c>
      <c r="AX45" s="391">
        <f t="shared" si="29"/>
        <v>42470</v>
      </c>
      <c r="AY45" s="391">
        <f t="shared" si="29"/>
        <v>42471</v>
      </c>
      <c r="AZ45" s="391">
        <f>AY45+1</f>
        <v>42472</v>
      </c>
      <c r="BA45" s="391">
        <f t="shared" si="29"/>
        <v>42473</v>
      </c>
      <c r="BB45" s="391">
        <f t="shared" si="29"/>
        <v>42474</v>
      </c>
      <c r="BC45" s="391">
        <f>AV45+1</f>
        <v>42468</v>
      </c>
      <c r="BD45" s="38" t="s">
        <v>540</v>
      </c>
      <c r="BE45" s="38">
        <v>25</v>
      </c>
      <c r="BF45" s="38">
        <v>23</v>
      </c>
      <c r="BG45" s="38">
        <v>25</v>
      </c>
      <c r="BH45" s="38">
        <v>23</v>
      </c>
      <c r="BI45" s="38">
        <v>23</v>
      </c>
      <c r="BJ45" s="38">
        <v>21</v>
      </c>
      <c r="BK45" s="38">
        <v>21</v>
      </c>
      <c r="BL45" s="38">
        <v>19</v>
      </c>
      <c r="BM45" s="38">
        <v>18</v>
      </c>
      <c r="BN45" s="38">
        <v>17</v>
      </c>
      <c r="BO45" s="38">
        <v>16</v>
      </c>
      <c r="BP45" s="38">
        <v>15</v>
      </c>
      <c r="BQ45" s="505">
        <v>9</v>
      </c>
    </row>
    <row r="46" spans="1:73" ht="12.75" customHeight="1" thickTop="1" thickBot="1">
      <c r="B46" s="59"/>
      <c r="C46" s="59"/>
      <c r="D46" s="59"/>
      <c r="E46" s="59"/>
      <c r="F46" s="59"/>
      <c r="G46" s="59"/>
      <c r="H46" s="60"/>
      <c r="I46" s="61"/>
      <c r="J46" s="61"/>
      <c r="K46" s="76">
        <f>SUM(K10:K45)</f>
        <v>0</v>
      </c>
      <c r="L46" s="76">
        <f>SUM(L10:L45)</f>
        <v>0</v>
      </c>
      <c r="W46" s="76">
        <f>SUM(W10:W45)</f>
        <v>0</v>
      </c>
      <c r="X46" s="76">
        <f>SUM(X10:X45)</f>
        <v>0</v>
      </c>
      <c r="Y46" s="42"/>
      <c r="Z46" s="687">
        <f>Z34-27</f>
        <v>45355</v>
      </c>
      <c r="AA46" s="687"/>
      <c r="AB46" s="687"/>
      <c r="AC46" s="55">
        <f>WEEKDAY(Z46,2)</f>
        <v>1</v>
      </c>
      <c r="AD46" s="643" t="str">
        <f>IF(AC46=1,"DILLUNS"," ")</f>
        <v>DILLUNS</v>
      </c>
      <c r="AE46" s="643"/>
      <c r="AF46" s="43"/>
      <c r="AG46" s="43"/>
      <c r="AH46" s="43"/>
      <c r="AI46" s="43"/>
      <c r="AJ46" s="47">
        <f>AD4</f>
        <v>2024</v>
      </c>
      <c r="AK46" s="47">
        <f>AD4</f>
        <v>2024</v>
      </c>
      <c r="AL46" s="43"/>
      <c r="AM46" s="47">
        <f>AK46</f>
        <v>2024</v>
      </c>
      <c r="AN46" s="47">
        <f>AL46</f>
        <v>0</v>
      </c>
      <c r="AO46" s="47">
        <f>AM46</f>
        <v>2024</v>
      </c>
      <c r="AT46" s="38">
        <v>10</v>
      </c>
      <c r="AU46" s="391">
        <v>42443</v>
      </c>
      <c r="AV46" s="391">
        <f t="shared" si="24"/>
        <v>42456</v>
      </c>
      <c r="AW46" s="391">
        <f>BC46+1</f>
        <v>42462</v>
      </c>
      <c r="AX46" s="391">
        <f>AW46+1</f>
        <v>42463</v>
      </c>
      <c r="AY46" s="391">
        <f>AV46+1</f>
        <v>42457</v>
      </c>
      <c r="AZ46" s="391">
        <f>AY46+1</f>
        <v>42458</v>
      </c>
      <c r="BA46" s="391">
        <f>AZ46+1</f>
        <v>42459</v>
      </c>
      <c r="BB46" s="391">
        <f>BA46+1</f>
        <v>42460</v>
      </c>
      <c r="BC46" s="391">
        <f>BB46+1</f>
        <v>42461</v>
      </c>
      <c r="BD46" s="38" t="s">
        <v>540</v>
      </c>
      <c r="BE46" s="38">
        <v>14</v>
      </c>
      <c r="BF46" s="38">
        <v>12</v>
      </c>
      <c r="BG46" s="38">
        <v>14</v>
      </c>
      <c r="BH46" s="38">
        <v>12</v>
      </c>
      <c r="BI46" s="38">
        <v>12</v>
      </c>
      <c r="BJ46" s="38">
        <v>10</v>
      </c>
      <c r="BK46" s="38">
        <v>10</v>
      </c>
      <c r="BL46" s="38">
        <v>8</v>
      </c>
      <c r="BM46" s="38">
        <v>7</v>
      </c>
      <c r="BN46" s="38">
        <v>6</v>
      </c>
      <c r="BO46" s="38">
        <v>5</v>
      </c>
      <c r="BP46" s="38">
        <v>4</v>
      </c>
      <c r="BQ46" s="505">
        <v>10</v>
      </c>
    </row>
    <row r="47" spans="1:73" ht="12.75" customHeight="1" thickTop="1">
      <c r="B47" s="59"/>
      <c r="C47" s="59"/>
      <c r="D47" s="59"/>
      <c r="E47" s="59"/>
      <c r="F47" s="59"/>
      <c r="G47" s="59"/>
      <c r="H47" s="60"/>
      <c r="I47" s="61"/>
      <c r="J47" s="61"/>
      <c r="K47" s="59"/>
      <c r="L47" s="59"/>
      <c r="W47" s="59"/>
      <c r="X47" s="59"/>
      <c r="Y47" s="42"/>
      <c r="Z47" s="150"/>
      <c r="AA47" s="150"/>
      <c r="AB47" s="150"/>
      <c r="AC47" s="55"/>
      <c r="AD47" s="43"/>
      <c r="AE47" s="43"/>
      <c r="AF47" s="43"/>
      <c r="AG47" s="43"/>
      <c r="AH47" s="43"/>
      <c r="AI47" s="43"/>
      <c r="AJ47" s="47">
        <f>AJ46-1979</f>
        <v>45</v>
      </c>
      <c r="AK47" s="47">
        <f>AK46-1320</f>
        <v>704</v>
      </c>
      <c r="AL47" s="43"/>
      <c r="AM47" s="47">
        <f>AM46-1899</f>
        <v>125</v>
      </c>
      <c r="AN47" s="47"/>
      <c r="AO47" s="67">
        <f>AO46-9999</f>
        <v>-7975</v>
      </c>
      <c r="AT47" s="38">
        <v>11</v>
      </c>
      <c r="AU47" s="391">
        <v>42462</v>
      </c>
      <c r="AV47" s="391">
        <f t="shared" si="24"/>
        <v>42475</v>
      </c>
      <c r="AW47" s="391">
        <f>AV47+1</f>
        <v>42476</v>
      </c>
      <c r="AX47" s="391">
        <f t="shared" ref="AX47:BC49" si="30">AW47+1</f>
        <v>42477</v>
      </c>
      <c r="AY47" s="391">
        <f t="shared" si="30"/>
        <v>42478</v>
      </c>
      <c r="AZ47" s="391">
        <f t="shared" si="30"/>
        <v>42479</v>
      </c>
      <c r="BA47" s="391">
        <f>AZ47+1</f>
        <v>42480</v>
      </c>
      <c r="BB47" s="391">
        <f t="shared" si="30"/>
        <v>42481</v>
      </c>
      <c r="BC47" s="391">
        <f t="shared" si="30"/>
        <v>42482</v>
      </c>
      <c r="BD47" s="38" t="s">
        <v>553</v>
      </c>
      <c r="BE47" s="38">
        <v>3</v>
      </c>
      <c r="BF47" s="38">
        <v>2</v>
      </c>
      <c r="BG47" s="38">
        <v>3</v>
      </c>
      <c r="BH47" s="38">
        <v>2</v>
      </c>
      <c r="BI47" s="38">
        <v>31</v>
      </c>
      <c r="BJ47" s="38">
        <v>29</v>
      </c>
      <c r="BK47" s="38">
        <v>29</v>
      </c>
      <c r="BL47" s="38">
        <v>27</v>
      </c>
      <c r="BM47" s="38">
        <v>26</v>
      </c>
      <c r="BN47" s="38">
        <v>25</v>
      </c>
      <c r="BO47" s="38">
        <v>24</v>
      </c>
      <c r="BP47" s="38">
        <v>23</v>
      </c>
      <c r="BQ47" s="505">
        <v>11</v>
      </c>
    </row>
    <row r="48" spans="1:73" ht="12.75" customHeight="1">
      <c r="B48" s="59"/>
      <c r="C48" s="59"/>
      <c r="D48" s="59"/>
      <c r="E48" s="59"/>
      <c r="F48" s="59"/>
      <c r="G48" s="164"/>
      <c r="H48" s="165"/>
      <c r="I48" s="166"/>
      <c r="J48" s="167" t="s">
        <v>266</v>
      </c>
      <c r="K48" s="164"/>
      <c r="L48" s="164"/>
      <c r="M48" s="168"/>
      <c r="O48" s="405"/>
      <c r="P48" s="58" t="s">
        <v>413</v>
      </c>
      <c r="T48" s="406"/>
      <c r="U48" s="58" t="s">
        <v>556</v>
      </c>
      <c r="W48" s="59"/>
      <c r="X48" s="59"/>
      <c r="Y48" s="42"/>
      <c r="Z48" s="256" t="s">
        <v>403</v>
      </c>
      <c r="AA48" s="150"/>
      <c r="AB48" s="150"/>
      <c r="AC48" s="55"/>
      <c r="AD48" s="43"/>
      <c r="AE48" s="43"/>
      <c r="AF48" s="47"/>
      <c r="AG48" s="43">
        <v>6</v>
      </c>
      <c r="AH48" s="43">
        <v>2</v>
      </c>
      <c r="AI48" s="43">
        <f>IF(AG48=$AB$49,AH48,0)</f>
        <v>0</v>
      </c>
      <c r="AJ48" s="47">
        <f>IF(AJ47&lt;1,1,0)</f>
        <v>0</v>
      </c>
      <c r="AK48" s="43">
        <f>IF(AK47&gt;0,1,0)</f>
        <v>1</v>
      </c>
      <c r="AL48" s="43"/>
      <c r="AM48" s="217">
        <f>IF(AND(AM47&gt;0,AO47&lt;1),1,0)</f>
        <v>1</v>
      </c>
      <c r="AN48" s="43"/>
      <c r="AT48" s="38">
        <v>12</v>
      </c>
      <c r="AU48" s="391">
        <v>42451</v>
      </c>
      <c r="AV48" s="391">
        <f t="shared" si="24"/>
        <v>42464</v>
      </c>
      <c r="AW48" s="391">
        <f>BC48+1</f>
        <v>42469</v>
      </c>
      <c r="AX48" s="391">
        <f t="shared" si="30"/>
        <v>42470</v>
      </c>
      <c r="AY48" s="391">
        <f t="shared" si="30"/>
        <v>42471</v>
      </c>
      <c r="AZ48" s="391">
        <f>AV48+1</f>
        <v>42465</v>
      </c>
      <c r="BA48" s="391">
        <f>AZ48+1</f>
        <v>42466</v>
      </c>
      <c r="BB48" s="391">
        <f>BA48+1</f>
        <v>42467</v>
      </c>
      <c r="BC48" s="391">
        <f>BB48+1</f>
        <v>42468</v>
      </c>
      <c r="BD48" s="38" t="s">
        <v>540</v>
      </c>
      <c r="BE48" s="38">
        <v>22</v>
      </c>
      <c r="BF48" s="38">
        <v>20</v>
      </c>
      <c r="BG48" s="38">
        <v>22</v>
      </c>
      <c r="BH48" s="38">
        <v>20</v>
      </c>
      <c r="BI48" s="38">
        <v>20</v>
      </c>
      <c r="BJ48" s="38">
        <v>18</v>
      </c>
      <c r="BK48" s="38">
        <v>18</v>
      </c>
      <c r="BL48" s="38">
        <v>16</v>
      </c>
      <c r="BM48" s="38">
        <v>15</v>
      </c>
      <c r="BN48" s="38">
        <v>14</v>
      </c>
      <c r="BO48" s="38">
        <v>13</v>
      </c>
      <c r="BP48" s="38">
        <v>12</v>
      </c>
      <c r="BQ48" s="505">
        <v>12</v>
      </c>
    </row>
    <row r="49" spans="2:72" ht="12.75" customHeight="1">
      <c r="B49" s="59"/>
      <c r="C49" s="59"/>
      <c r="D49" s="59"/>
      <c r="E49" s="59"/>
      <c r="F49" s="59"/>
      <c r="G49" s="59"/>
      <c r="H49" s="60"/>
      <c r="I49" s="61"/>
      <c r="J49" s="169"/>
      <c r="K49" s="59"/>
      <c r="L49" s="59"/>
      <c r="M49" s="170"/>
      <c r="W49" s="59"/>
      <c r="X49" s="59"/>
      <c r="Y49" s="42"/>
      <c r="Z49" s="687">
        <f>Z11</f>
        <v>45413</v>
      </c>
      <c r="AA49" s="687"/>
      <c r="AB49" s="47">
        <f>AB11</f>
        <v>3</v>
      </c>
      <c r="AC49" s="55">
        <f>IF(AK48&gt;0,DAY(AB50)," ")</f>
        <v>4</v>
      </c>
      <c r="AD49" s="43"/>
      <c r="AE49" s="43"/>
      <c r="AF49" s="47"/>
      <c r="AG49" s="43">
        <v>5</v>
      </c>
      <c r="AH49" s="43">
        <v>3</v>
      </c>
      <c r="AI49" s="43">
        <f t="shared" ref="AI49:AI54" si="31">IF(AG49=$AB$49,AH49,0)</f>
        <v>0</v>
      </c>
      <c r="AJ49" s="43"/>
      <c r="AK49" s="43"/>
      <c r="AL49" s="43"/>
      <c r="AM49" s="43"/>
      <c r="AN49" s="43"/>
      <c r="AT49" s="38">
        <v>13</v>
      </c>
      <c r="AU49" s="391">
        <v>42440</v>
      </c>
      <c r="AV49" s="391">
        <f t="shared" si="24"/>
        <v>42453</v>
      </c>
      <c r="AW49" s="391">
        <f>BC49+1</f>
        <v>42455</v>
      </c>
      <c r="AX49" s="391">
        <f t="shared" si="30"/>
        <v>42456</v>
      </c>
      <c r="AY49" s="391">
        <f t="shared" si="30"/>
        <v>42457</v>
      </c>
      <c r="AZ49" s="391">
        <f>AY49+1</f>
        <v>42458</v>
      </c>
      <c r="BA49" s="391">
        <f t="shared" si="30"/>
        <v>42459</v>
      </c>
      <c r="BB49" s="391">
        <f t="shared" si="30"/>
        <v>42460</v>
      </c>
      <c r="BC49" s="391">
        <f>AV49+1</f>
        <v>42454</v>
      </c>
      <c r="BD49" s="38" t="s">
        <v>553</v>
      </c>
      <c r="BE49" s="38">
        <v>11</v>
      </c>
      <c r="BF49" s="38">
        <v>9</v>
      </c>
      <c r="BG49" s="38">
        <v>11</v>
      </c>
      <c r="BH49" s="38">
        <v>9</v>
      </c>
      <c r="BI49" s="38">
        <v>9</v>
      </c>
      <c r="BJ49" s="38">
        <v>7</v>
      </c>
      <c r="BK49" s="38">
        <v>7</v>
      </c>
      <c r="BL49" s="38">
        <v>5</v>
      </c>
      <c r="BM49" s="38">
        <v>4</v>
      </c>
      <c r="BN49" s="38">
        <v>3</v>
      </c>
      <c r="BO49" s="38">
        <v>2</v>
      </c>
      <c r="BP49" s="38">
        <v>31</v>
      </c>
      <c r="BQ49" s="505">
        <v>13</v>
      </c>
    </row>
    <row r="50" spans="2:72" ht="12.75" customHeight="1">
      <c r="B50" s="59"/>
      <c r="C50" s="171">
        <v>12</v>
      </c>
      <c r="D50" s="172" t="s">
        <v>267</v>
      </c>
      <c r="E50" s="59"/>
      <c r="F50" s="59"/>
      <c r="G50" s="59"/>
      <c r="H50" s="60"/>
      <c r="I50" s="292">
        <v>9</v>
      </c>
      <c r="J50" s="173" t="s">
        <v>268</v>
      </c>
      <c r="K50" s="59"/>
      <c r="L50" s="59"/>
      <c r="O50" s="290">
        <v>11</v>
      </c>
      <c r="P50" s="173" t="s">
        <v>269</v>
      </c>
      <c r="T50" s="40">
        <v>12</v>
      </c>
      <c r="U50" s="58" t="s">
        <v>270</v>
      </c>
      <c r="W50" s="59"/>
      <c r="X50" s="691">
        <f>IF(AB62&gt;1900,DATEVALUE(AE52),CONCATENATE(AB50,AC52))</f>
        <v>45416</v>
      </c>
      <c r="Y50" s="691"/>
      <c r="Z50" s="256" t="s">
        <v>404</v>
      </c>
      <c r="AA50" s="150"/>
      <c r="AB50" s="692">
        <f>IF(OR($AJ$48=1,$AI$55=1),IF($AK$48&gt;0,30,"NO"),$AB$51-1)</f>
        <v>4</v>
      </c>
      <c r="AC50" s="693"/>
      <c r="AD50" s="43">
        <f>IF(AJ48&gt;0,4,5)</f>
        <v>5</v>
      </c>
      <c r="AE50" s="43">
        <f>IF(AD50=4,AC49,0)</f>
        <v>0</v>
      </c>
      <c r="AF50" s="47">
        <f>IF(AD50=5,AC49,0)</f>
        <v>4</v>
      </c>
      <c r="AG50" s="43">
        <v>4</v>
      </c>
      <c r="AH50" s="43">
        <v>4</v>
      </c>
      <c r="AI50" s="43">
        <f t="shared" si="31"/>
        <v>0</v>
      </c>
      <c r="AJ50" s="43"/>
      <c r="AK50" s="43"/>
      <c r="AL50" s="43"/>
      <c r="AM50" s="47">
        <f>AD4</f>
        <v>2024</v>
      </c>
      <c r="AN50" s="47"/>
      <c r="AP50" s="67">
        <f>AM50</f>
        <v>2024</v>
      </c>
      <c r="AT50" s="38">
        <v>14</v>
      </c>
      <c r="AU50" s="391">
        <v>42459</v>
      </c>
      <c r="AV50" s="391">
        <f t="shared" si="24"/>
        <v>42472</v>
      </c>
      <c r="AW50" s="391">
        <f>BC50+1</f>
        <v>42476</v>
      </c>
      <c r="AX50" s="391">
        <f>AW50+1</f>
        <v>42477</v>
      </c>
      <c r="AY50" s="391">
        <f>AX50+1</f>
        <v>42478</v>
      </c>
      <c r="AZ50" s="391">
        <f>AY50+1</f>
        <v>42479</v>
      </c>
      <c r="BA50" s="391">
        <f>AV50+1</f>
        <v>42473</v>
      </c>
      <c r="BB50" s="391">
        <f>BA50+1</f>
        <v>42474</v>
      </c>
      <c r="BC50" s="391">
        <f>BB50+1</f>
        <v>42475</v>
      </c>
      <c r="BD50" s="38" t="s">
        <v>540</v>
      </c>
      <c r="BE50" s="38">
        <v>30</v>
      </c>
      <c r="BF50" s="38">
        <v>28</v>
      </c>
      <c r="BG50" s="38">
        <v>30</v>
      </c>
      <c r="BH50" s="38">
        <v>28</v>
      </c>
      <c r="BI50" s="38">
        <v>28</v>
      </c>
      <c r="BJ50" s="38">
        <v>26</v>
      </c>
      <c r="BK50" s="38">
        <v>26</v>
      </c>
      <c r="BL50" s="38">
        <v>24</v>
      </c>
      <c r="BM50" s="38">
        <v>23</v>
      </c>
      <c r="BN50" s="38">
        <v>22</v>
      </c>
      <c r="BO50" s="38">
        <v>21</v>
      </c>
      <c r="BP50" s="38">
        <v>20</v>
      </c>
      <c r="BQ50" s="505">
        <v>14</v>
      </c>
    </row>
    <row r="51" spans="2:72" ht="12.75" customHeight="1">
      <c r="B51" s="59"/>
      <c r="C51" s="59"/>
      <c r="D51" s="59"/>
      <c r="E51" s="59"/>
      <c r="F51" s="59"/>
      <c r="G51" s="59"/>
      <c r="H51" s="60"/>
      <c r="I51" s="61"/>
      <c r="J51" s="169"/>
      <c r="K51" s="59"/>
      <c r="L51" s="59"/>
      <c r="W51" s="59"/>
      <c r="X51" s="691">
        <f>IF(AB62&gt;1900,DATEVALUE(AE53),CONCATENATE(AB51,AC53))</f>
        <v>45417</v>
      </c>
      <c r="Y51" s="691"/>
      <c r="Z51" s="256" t="s">
        <v>405</v>
      </c>
      <c r="AA51" s="150"/>
      <c r="AB51" s="692">
        <f>IF($AJ$48=1,IF($AK$48&gt;0,$AK$55,"NO"),$AI$55)</f>
        <v>5</v>
      </c>
      <c r="AC51" s="693"/>
      <c r="AD51" s="43">
        <v>5</v>
      </c>
      <c r="AE51" s="43"/>
      <c r="AF51" s="47"/>
      <c r="AG51" s="43">
        <v>3</v>
      </c>
      <c r="AH51" s="43">
        <v>5</v>
      </c>
      <c r="AI51" s="43">
        <f t="shared" si="31"/>
        <v>5</v>
      </c>
      <c r="AJ51" s="43"/>
      <c r="AK51" s="43"/>
      <c r="AL51" s="43"/>
      <c r="AM51" s="667">
        <f>2008-AM50</f>
        <v>-16</v>
      </c>
      <c r="AN51" s="667"/>
      <c r="AP51" s="694">
        <f>AP50-1238</f>
        <v>786</v>
      </c>
      <c r="AQ51" s="695"/>
      <c r="AT51" s="38">
        <v>15</v>
      </c>
      <c r="AU51" s="391">
        <v>42448</v>
      </c>
      <c r="AV51" s="391">
        <f t="shared" si="24"/>
        <v>42461</v>
      </c>
      <c r="AW51" s="391">
        <f>AV51+1</f>
        <v>42462</v>
      </c>
      <c r="AX51" s="391">
        <f t="shared" ref="AX51:BC52" si="32">AW51+1</f>
        <v>42463</v>
      </c>
      <c r="AY51" s="391">
        <f t="shared" si="32"/>
        <v>42464</v>
      </c>
      <c r="AZ51" s="391">
        <f t="shared" si="32"/>
        <v>42465</v>
      </c>
      <c r="BA51" s="391">
        <f t="shared" si="32"/>
        <v>42466</v>
      </c>
      <c r="BB51" s="391">
        <f t="shared" si="32"/>
        <v>42467</v>
      </c>
      <c r="BC51" s="391">
        <f t="shared" si="32"/>
        <v>42468</v>
      </c>
      <c r="BD51" s="38" t="s">
        <v>540</v>
      </c>
      <c r="BE51" s="38">
        <v>19</v>
      </c>
      <c r="BF51" s="38">
        <v>17</v>
      </c>
      <c r="BG51" s="38">
        <v>19</v>
      </c>
      <c r="BH51" s="38">
        <v>17</v>
      </c>
      <c r="BI51" s="38">
        <v>17</v>
      </c>
      <c r="BJ51" s="38">
        <v>15</v>
      </c>
      <c r="BK51" s="38">
        <v>15</v>
      </c>
      <c r="BL51" s="38">
        <v>13</v>
      </c>
      <c r="BM51" s="38">
        <v>12</v>
      </c>
      <c r="BN51" s="38">
        <v>11</v>
      </c>
      <c r="BO51" s="38">
        <v>10</v>
      </c>
      <c r="BP51" s="38">
        <v>9</v>
      </c>
      <c r="BQ51" s="505">
        <v>15</v>
      </c>
    </row>
    <row r="52" spans="2:72" ht="12.75" customHeight="1">
      <c r="B52" s="407">
        <f>DAY(C53)</f>
        <v>14</v>
      </c>
      <c r="C52" s="643" t="s">
        <v>250</v>
      </c>
      <c r="D52" s="643"/>
      <c r="E52" s="643"/>
      <c r="F52" s="58" t="s">
        <v>252</v>
      </c>
      <c r="R52" s="174">
        <f>DAY(P56)</f>
        <v>31</v>
      </c>
      <c r="S52" s="58" t="s">
        <v>271</v>
      </c>
      <c r="Y52" s="65"/>
      <c r="Z52" s="43"/>
      <c r="AA52" s="43"/>
      <c r="AB52" s="43"/>
      <c r="AC52" s="458" t="str">
        <f>IF(AD50=4,"abril","mayo")</f>
        <v>mayo</v>
      </c>
      <c r="AD52" s="47">
        <f>AG4</f>
        <v>2024</v>
      </c>
      <c r="AE52" s="701" t="str">
        <f>CONCATENATE(AB50,AC52,AD52)</f>
        <v>4mayo2024</v>
      </c>
      <c r="AF52" s="701"/>
      <c r="AG52" s="43">
        <v>2</v>
      </c>
      <c r="AH52" s="43">
        <v>6</v>
      </c>
      <c r="AI52" s="43">
        <f t="shared" si="31"/>
        <v>0</v>
      </c>
      <c r="AJ52" s="43"/>
      <c r="AK52" s="43"/>
      <c r="AL52" s="43"/>
      <c r="AM52" s="43">
        <f>IF(AM51&lt;1,AM67,11)</f>
        <v>8</v>
      </c>
      <c r="AN52" s="43"/>
      <c r="AP52" s="40">
        <f>IF(AP51&gt;0,1,0)</f>
        <v>1</v>
      </c>
      <c r="AT52" s="38">
        <v>16</v>
      </c>
      <c r="AU52" s="391">
        <v>42437</v>
      </c>
      <c r="AV52" s="391">
        <f t="shared" si="24"/>
        <v>42450</v>
      </c>
      <c r="AW52" s="391">
        <f>BC52+1</f>
        <v>42455</v>
      </c>
      <c r="AX52" s="391">
        <f t="shared" si="32"/>
        <v>42456</v>
      </c>
      <c r="AY52" s="391">
        <f t="shared" si="32"/>
        <v>42457</v>
      </c>
      <c r="AZ52" s="391">
        <f>AV52+1</f>
        <v>42451</v>
      </c>
      <c r="BA52" s="391">
        <f t="shared" si="32"/>
        <v>42452</v>
      </c>
      <c r="BB52" s="391">
        <f t="shared" si="32"/>
        <v>42453</v>
      </c>
      <c r="BC52" s="391">
        <f t="shared" si="32"/>
        <v>42454</v>
      </c>
      <c r="BD52" s="38" t="s">
        <v>553</v>
      </c>
      <c r="BE52" s="38">
        <v>8</v>
      </c>
      <c r="BF52" s="38">
        <v>6</v>
      </c>
      <c r="BG52" s="38">
        <v>8</v>
      </c>
      <c r="BH52" s="38">
        <v>6</v>
      </c>
      <c r="BI52" s="38">
        <v>6</v>
      </c>
      <c r="BJ52" s="38">
        <v>4</v>
      </c>
      <c r="BK52" s="38">
        <v>4</v>
      </c>
      <c r="BL52" s="38">
        <v>2</v>
      </c>
      <c r="BM52" s="38">
        <v>1</v>
      </c>
      <c r="BN52" s="38">
        <v>30</v>
      </c>
      <c r="BO52" s="38">
        <v>29</v>
      </c>
      <c r="BP52" s="38">
        <v>28</v>
      </c>
      <c r="BQ52" s="505">
        <v>16</v>
      </c>
    </row>
    <row r="53" spans="2:72" ht="12.75" customHeight="1">
      <c r="C53" s="696">
        <f>O53</f>
        <v>45336</v>
      </c>
      <c r="D53" s="696"/>
      <c r="E53" s="696"/>
      <c r="F53" s="697">
        <f>P56-I53</f>
        <v>45336</v>
      </c>
      <c r="G53" s="698"/>
      <c r="H53" s="698"/>
      <c r="I53" s="699">
        <f>IF(AND(H11=1,H12=1),47,46)</f>
        <v>46</v>
      </c>
      <c r="J53" s="699"/>
      <c r="K53" s="699"/>
      <c r="L53" s="697">
        <f>IF(OR(V4=400,V4=1200,V4=1600),P56-45,P56-46)</f>
        <v>45336</v>
      </c>
      <c r="M53" s="700"/>
      <c r="N53" s="700"/>
      <c r="O53" s="697">
        <f>IF(OR(V4=100,V4=500,V4=1300,V4=1700,V4=1900),P56-47,L53)</f>
        <v>45336</v>
      </c>
      <c r="P53" s="700"/>
      <c r="Q53" s="700"/>
      <c r="Y53" s="65"/>
      <c r="Z53" s="643" t="s">
        <v>240</v>
      </c>
      <c r="AA53" s="643"/>
      <c r="AB53" s="643"/>
      <c r="AC53" s="458" t="s">
        <v>532</v>
      </c>
      <c r="AD53" s="47">
        <f>AG4</f>
        <v>2024</v>
      </c>
      <c r="AE53" s="459" t="str">
        <f>CONCATENATE(AB51,AC53,AD53)</f>
        <v>5mayo2024</v>
      </c>
      <c r="AF53" s="458"/>
      <c r="AG53" s="43">
        <v>1</v>
      </c>
      <c r="AH53" s="43">
        <v>7</v>
      </c>
      <c r="AI53" s="43">
        <f t="shared" si="31"/>
        <v>0</v>
      </c>
      <c r="AJ53" s="43"/>
      <c r="AK53" s="43"/>
      <c r="AL53" s="43"/>
      <c r="AM53" s="43"/>
      <c r="AN53" s="43"/>
      <c r="AT53" s="38">
        <v>17</v>
      </c>
      <c r="AU53" s="391">
        <v>42456</v>
      </c>
      <c r="AV53" s="391">
        <f t="shared" si="24"/>
        <v>42469</v>
      </c>
      <c r="AW53" s="391">
        <f>BC53+1</f>
        <v>42476</v>
      </c>
      <c r="AX53" s="391">
        <f>AV53+1</f>
        <v>42470</v>
      </c>
      <c r="AY53" s="391">
        <f>AX53+1</f>
        <v>42471</v>
      </c>
      <c r="AZ53" s="391">
        <f>AY53+1</f>
        <v>42472</v>
      </c>
      <c r="BA53" s="391">
        <f>AZ53+1</f>
        <v>42473</v>
      </c>
      <c r="BB53" s="391">
        <f>BA53+1</f>
        <v>42474</v>
      </c>
      <c r="BC53" s="391">
        <f>BB53+1</f>
        <v>42475</v>
      </c>
      <c r="BD53" s="38" t="s">
        <v>540</v>
      </c>
      <c r="BE53" s="38">
        <v>27</v>
      </c>
      <c r="BF53" s="38">
        <v>25</v>
      </c>
      <c r="BG53" s="38">
        <v>27</v>
      </c>
      <c r="BH53" s="38">
        <v>25</v>
      </c>
      <c r="BI53" s="38">
        <v>25</v>
      </c>
      <c r="BJ53" s="38">
        <v>23</v>
      </c>
      <c r="BK53" s="38">
        <v>23</v>
      </c>
      <c r="BL53" s="38">
        <v>21</v>
      </c>
      <c r="BM53" s="38">
        <v>20</v>
      </c>
      <c r="BN53" s="38">
        <v>19</v>
      </c>
      <c r="BO53" s="38">
        <v>18</v>
      </c>
      <c r="BP53" s="38">
        <v>17</v>
      </c>
      <c r="BQ53" s="505">
        <v>17</v>
      </c>
    </row>
    <row r="54" spans="2:72" ht="12.75" customHeight="1">
      <c r="D54" s="38">
        <f>WEEKDAY(C53,2)</f>
        <v>3</v>
      </c>
      <c r="Y54" s="42"/>
      <c r="Z54" s="687">
        <f>Z34-55</f>
        <v>45327</v>
      </c>
      <c r="AA54" s="687"/>
      <c r="AB54" s="687"/>
      <c r="AC54" s="55">
        <f>WEEKDAY(Z54,2)</f>
        <v>1</v>
      </c>
      <c r="AD54" s="643" t="str">
        <f>IF(AC54=1,"DILLUNS"," ")</f>
        <v>DILLUNS</v>
      </c>
      <c r="AE54" s="643"/>
      <c r="AF54" s="47"/>
      <c r="AG54" s="43">
        <v>0</v>
      </c>
      <c r="AH54" s="43">
        <v>1</v>
      </c>
      <c r="AI54" s="43">
        <f t="shared" si="31"/>
        <v>0</v>
      </c>
      <c r="AJ54" s="43"/>
      <c r="AK54" s="43"/>
      <c r="AL54" s="43"/>
      <c r="AM54" s="43"/>
      <c r="AN54" s="43"/>
      <c r="AT54" s="38">
        <v>18</v>
      </c>
      <c r="AU54" s="391">
        <v>42445</v>
      </c>
      <c r="AV54" s="391">
        <f t="shared" si="24"/>
        <v>42458</v>
      </c>
      <c r="AW54" s="391">
        <f>BC54+1</f>
        <v>42462</v>
      </c>
      <c r="AX54" s="391">
        <f t="shared" ref="AX54:BC56" si="33">AW54+1</f>
        <v>42463</v>
      </c>
      <c r="AY54" s="391">
        <f t="shared" si="33"/>
        <v>42464</v>
      </c>
      <c r="AZ54" s="391">
        <f t="shared" si="33"/>
        <v>42465</v>
      </c>
      <c r="BA54" s="391">
        <f>AV54+1</f>
        <v>42459</v>
      </c>
      <c r="BB54" s="391">
        <f t="shared" si="33"/>
        <v>42460</v>
      </c>
      <c r="BC54" s="391">
        <f t="shared" si="33"/>
        <v>42461</v>
      </c>
      <c r="BD54" s="38" t="s">
        <v>540</v>
      </c>
      <c r="BE54" s="38">
        <v>16</v>
      </c>
      <c r="BF54" s="38">
        <v>14</v>
      </c>
      <c r="BG54" s="38">
        <v>16</v>
      </c>
      <c r="BH54" s="38">
        <v>14</v>
      </c>
      <c r="BI54" s="38">
        <v>14</v>
      </c>
      <c r="BJ54" s="38">
        <v>12</v>
      </c>
      <c r="BK54" s="38">
        <v>12</v>
      </c>
      <c r="BL54" s="38">
        <v>10</v>
      </c>
      <c r="BM54" s="38">
        <v>9</v>
      </c>
      <c r="BN54" s="38">
        <v>8</v>
      </c>
      <c r="BO54" s="38">
        <v>7</v>
      </c>
      <c r="BP54" s="38">
        <v>6</v>
      </c>
      <c r="BQ54" s="505">
        <v>18</v>
      </c>
    </row>
    <row r="55" spans="2:72" ht="12.75" customHeight="1">
      <c r="C55" s="688" t="s">
        <v>249</v>
      </c>
      <c r="D55" s="688"/>
      <c r="E55" s="688"/>
      <c r="F55" s="702"/>
      <c r="H55" s="643" t="s">
        <v>43</v>
      </c>
      <c r="I55" s="643"/>
      <c r="J55" s="643"/>
      <c r="L55" s="643" t="s">
        <v>44</v>
      </c>
      <c r="M55" s="643"/>
      <c r="N55" s="643"/>
      <c r="P55" s="643" t="s">
        <v>34</v>
      </c>
      <c r="Q55" s="643"/>
      <c r="R55" s="643"/>
      <c r="T55" s="703" t="s">
        <v>254</v>
      </c>
      <c r="U55" s="703"/>
      <c r="V55" s="703"/>
      <c r="W55" s="703"/>
      <c r="Y55" s="42"/>
      <c r="Z55" s="687">
        <f>Z54+4</f>
        <v>45331</v>
      </c>
      <c r="AA55" s="687"/>
      <c r="AB55" s="687"/>
      <c r="AC55" s="55">
        <f>WEEKDAY(Z55,2)</f>
        <v>5</v>
      </c>
      <c r="AD55" s="643" t="str">
        <f>IF(AC55=5,"DIVENDRES"," ")</f>
        <v>DIVENDRES</v>
      </c>
      <c r="AE55" s="643"/>
      <c r="AF55" s="43"/>
      <c r="AG55" s="43"/>
      <c r="AH55" s="43"/>
      <c r="AI55" s="43">
        <f>SUM(AI48:AI54)</f>
        <v>5</v>
      </c>
      <c r="AJ55" s="43" t="s">
        <v>406</v>
      </c>
      <c r="AK55" s="43">
        <v>1</v>
      </c>
      <c r="AL55" s="43" t="s">
        <v>406</v>
      </c>
      <c r="AM55" s="43"/>
      <c r="AN55" s="43"/>
      <c r="AT55" s="38">
        <v>19</v>
      </c>
      <c r="AU55" s="391">
        <v>42464</v>
      </c>
      <c r="AV55" s="391">
        <f t="shared" si="24"/>
        <v>42477</v>
      </c>
      <c r="AW55" s="391">
        <f>BC55+1</f>
        <v>42483</v>
      </c>
      <c r="AX55" s="391">
        <f t="shared" si="33"/>
        <v>42484</v>
      </c>
      <c r="AY55" s="391">
        <f>AV55+1</f>
        <v>42478</v>
      </c>
      <c r="AZ55" s="391">
        <f t="shared" si="33"/>
        <v>42479</v>
      </c>
      <c r="BA55" s="391">
        <f t="shared" si="33"/>
        <v>42480</v>
      </c>
      <c r="BB55" s="391">
        <f t="shared" si="33"/>
        <v>42481</v>
      </c>
      <c r="BC55" s="391">
        <f t="shared" si="33"/>
        <v>42482</v>
      </c>
      <c r="BD55" s="38" t="s">
        <v>553</v>
      </c>
      <c r="BE55" s="38">
        <v>5</v>
      </c>
      <c r="BF55" s="38">
        <v>3</v>
      </c>
      <c r="BG55" s="38">
        <v>5</v>
      </c>
      <c r="BH55" s="38">
        <v>4</v>
      </c>
      <c r="BI55" s="38">
        <v>3</v>
      </c>
      <c r="BJ55" s="38">
        <v>2</v>
      </c>
      <c r="BK55" s="38">
        <v>31</v>
      </c>
      <c r="BL55" s="38">
        <v>29</v>
      </c>
      <c r="BM55" s="38">
        <v>28</v>
      </c>
      <c r="BN55" s="38">
        <v>27</v>
      </c>
      <c r="BO55" s="38">
        <v>25</v>
      </c>
      <c r="BP55" s="38">
        <v>24</v>
      </c>
      <c r="BQ55" s="505">
        <v>19</v>
      </c>
    </row>
    <row r="56" spans="2:72" ht="12.75" customHeight="1">
      <c r="C56" s="696">
        <f>$Z$46</f>
        <v>45355</v>
      </c>
      <c r="D56" s="696"/>
      <c r="E56" s="696"/>
      <c r="F56" s="696"/>
      <c r="H56" s="696">
        <f>$Z$37</f>
        <v>45379</v>
      </c>
      <c r="I56" s="704"/>
      <c r="J56" s="704"/>
      <c r="L56" s="696">
        <f>H56+1</f>
        <v>45380</v>
      </c>
      <c r="M56" s="705"/>
      <c r="N56" s="705"/>
      <c r="P56" s="706">
        <f>$Z$34</f>
        <v>45382</v>
      </c>
      <c r="Q56" s="707"/>
      <c r="R56" s="707"/>
      <c r="T56" s="703"/>
      <c r="U56" s="703"/>
      <c r="V56" s="703"/>
      <c r="W56" s="703"/>
      <c r="Y56" s="42"/>
      <c r="Z56" s="43"/>
      <c r="AA56" s="43"/>
      <c r="AB56" s="43"/>
      <c r="AC56" s="43"/>
      <c r="AD56" s="43"/>
      <c r="AE56" s="43"/>
      <c r="AF56" s="43"/>
      <c r="AG56" s="43"/>
      <c r="AH56" s="43"/>
      <c r="AI56" s="44" t="str">
        <f>CONCATENATE(AI55,AJ55,AD4)</f>
        <v>5may2024</v>
      </c>
      <c r="AJ56" s="43"/>
      <c r="AK56" s="44" t="str">
        <f>CONCATENATE(AK55,AL55,AD4)</f>
        <v>1may2024</v>
      </c>
      <c r="AL56" s="43"/>
      <c r="AM56" s="43"/>
      <c r="AN56" s="43"/>
      <c r="AW56" s="38">
        <v>1</v>
      </c>
      <c r="AX56" s="38">
        <f t="shared" si="33"/>
        <v>2</v>
      </c>
      <c r="AY56" s="38">
        <f>AX56+1</f>
        <v>3</v>
      </c>
      <c r="AZ56" s="38">
        <f t="shared" si="33"/>
        <v>4</v>
      </c>
      <c r="BA56" s="38">
        <f t="shared" si="33"/>
        <v>5</v>
      </c>
      <c r="BB56" s="38">
        <f t="shared" si="33"/>
        <v>6</v>
      </c>
      <c r="BC56" s="38">
        <f t="shared" si="33"/>
        <v>7</v>
      </c>
    </row>
    <row r="57" spans="2:72" ht="12" customHeight="1">
      <c r="Q57" s="41">
        <f>MONTH(P56)</f>
        <v>3</v>
      </c>
      <c r="Y57" s="42"/>
      <c r="Z57" s="688" t="s">
        <v>557</v>
      </c>
      <c r="AA57" s="688"/>
      <c r="AB57" s="688"/>
      <c r="AC57" s="43"/>
      <c r="AD57" s="43"/>
      <c r="AE57" s="43"/>
      <c r="AF57" s="43"/>
      <c r="AG57" s="43"/>
      <c r="AH57" s="43"/>
      <c r="AI57" s="629">
        <f>IF(AM48=1,DATEVALUE(AI56)," ")</f>
        <v>45417</v>
      </c>
      <c r="AJ57" s="629"/>
      <c r="AK57" s="629">
        <f>IF(AM48=1,DATEVALUE(AK56)," ")</f>
        <v>45413</v>
      </c>
      <c r="AL57" s="629"/>
      <c r="AM57" s="43"/>
      <c r="AN57" s="43"/>
      <c r="AQ57" s="218" t="s">
        <v>314</v>
      </c>
      <c r="AT57" s="38" t="s">
        <v>314</v>
      </c>
      <c r="AZ57" s="38" t="s">
        <v>83</v>
      </c>
      <c r="BA57" s="38" t="s">
        <v>83</v>
      </c>
      <c r="BC57" s="38" t="s">
        <v>45</v>
      </c>
      <c r="BE57" s="38" t="s">
        <v>558</v>
      </c>
      <c r="BG57" s="38" t="s">
        <v>45</v>
      </c>
    </row>
    <row r="58" spans="2:72" ht="12.75" customHeight="1">
      <c r="C58" s="643" t="s">
        <v>248</v>
      </c>
      <c r="D58" s="643"/>
      <c r="E58" s="643"/>
      <c r="H58" s="688" t="s">
        <v>206</v>
      </c>
      <c r="I58" s="688"/>
      <c r="J58" s="688"/>
      <c r="K58" s="702"/>
      <c r="L58" s="688"/>
      <c r="M58" s="688"/>
      <c r="N58" s="688"/>
      <c r="O58" s="702"/>
      <c r="Q58" s="688" t="s">
        <v>251</v>
      </c>
      <c r="R58" s="688"/>
      <c r="S58" s="688"/>
      <c r="T58" s="702"/>
      <c r="Y58" s="42"/>
      <c r="Z58" s="687">
        <f>$H$59</f>
        <v>45431</v>
      </c>
      <c r="AA58" s="687"/>
      <c r="AB58" s="687"/>
      <c r="AC58" s="55">
        <f>DAY(Z58)</f>
        <v>19</v>
      </c>
      <c r="AD58" s="643"/>
      <c r="AE58" s="643"/>
      <c r="AF58" s="43"/>
      <c r="AG58" s="43"/>
      <c r="AH58" s="43"/>
      <c r="AI58" s="43"/>
      <c r="AJ58" s="43"/>
      <c r="AK58" s="43"/>
      <c r="AL58" s="43"/>
      <c r="AM58" s="43"/>
      <c r="AN58" s="43"/>
      <c r="AO58" s="67">
        <f>luna!$A$64</f>
        <v>11</v>
      </c>
      <c r="AP58" s="713" t="s">
        <v>315</v>
      </c>
      <c r="AQ58" s="638"/>
      <c r="AR58" s="638"/>
      <c r="AS58" s="714">
        <v>42370</v>
      </c>
      <c r="AT58" s="715"/>
      <c r="AV58" s="38" t="s">
        <v>429</v>
      </c>
      <c r="AX58" s="58" t="s">
        <v>430</v>
      </c>
      <c r="AZ58" s="38" t="s">
        <v>559</v>
      </c>
      <c r="BA58" s="38" t="s">
        <v>560</v>
      </c>
      <c r="BC58" s="38" t="s">
        <v>34</v>
      </c>
      <c r="BD58" s="38" t="str">
        <f>VLOOKUP(AO58,AT37:BD55,11,)</f>
        <v>AÑO EMBOLISTICO</v>
      </c>
      <c r="BE58" s="38" t="s">
        <v>561</v>
      </c>
      <c r="BG58" s="38" t="s">
        <v>34</v>
      </c>
    </row>
    <row r="59" spans="2:72" ht="12.75" customHeight="1">
      <c r="B59" s="408">
        <f>DAY(C59)</f>
        <v>8</v>
      </c>
      <c r="C59" s="696">
        <f>$Z$40</f>
        <v>45390</v>
      </c>
      <c r="D59" s="704"/>
      <c r="E59" s="704"/>
      <c r="G59" s="291">
        <f>DAY(H59)</f>
        <v>19</v>
      </c>
      <c r="H59" s="696">
        <f>P56+49</f>
        <v>45431</v>
      </c>
      <c r="I59" s="696"/>
      <c r="J59" s="696"/>
      <c r="K59" s="696"/>
      <c r="L59" s="696"/>
      <c r="M59" s="708"/>
      <c r="N59" s="708"/>
      <c r="P59" s="291">
        <f>IF(V4&gt;1263,DAY(Q59),"no")</f>
        <v>2</v>
      </c>
      <c r="Q59" s="696">
        <f>IF(V4&gt;1263,R62+U59,"no")</f>
        <v>45445</v>
      </c>
      <c r="R59" s="696"/>
      <c r="S59" s="696"/>
      <c r="T59" s="696"/>
      <c r="U59" s="38">
        <f>IF(AND(V4&lt;1990,V4&gt;1976),18,21)</f>
        <v>21</v>
      </c>
      <c r="Y59" s="42"/>
      <c r="Z59" s="687"/>
      <c r="AA59" s="687"/>
      <c r="AB59" s="687"/>
      <c r="AC59" s="55"/>
      <c r="AD59" s="643"/>
      <c r="AE59" s="643"/>
      <c r="AF59" s="43"/>
      <c r="AG59" s="43"/>
      <c r="AH59" s="43"/>
      <c r="AI59" s="43"/>
      <c r="AJ59" s="43"/>
      <c r="AO59" s="40" t="s">
        <v>427</v>
      </c>
      <c r="AP59" s="225" t="s">
        <v>316</v>
      </c>
      <c r="AS59" s="226" t="s">
        <v>317</v>
      </c>
    </row>
    <row r="60" spans="2:72" ht="12.75" customHeight="1">
      <c r="H60" s="58"/>
      <c r="I60" s="38" t="s">
        <v>562</v>
      </c>
      <c r="Y60" s="42"/>
      <c r="Z60" s="43"/>
      <c r="AA60" s="43"/>
      <c r="AB60" s="43"/>
      <c r="AC60" s="43"/>
      <c r="AD60" s="43"/>
      <c r="AE60" s="43"/>
      <c r="AF60" s="43">
        <v>1</v>
      </c>
      <c r="AG60" s="43" t="s">
        <v>409</v>
      </c>
      <c r="AH60" s="47">
        <f>AD4</f>
        <v>2024</v>
      </c>
      <c r="AI60" s="43"/>
      <c r="AJ60" s="43"/>
      <c r="AK60" s="43">
        <v>1</v>
      </c>
      <c r="AL60" s="43">
        <v>12</v>
      </c>
      <c r="AM60" s="43">
        <f>IF(AK60=$AH$61,AL60,0)</f>
        <v>0</v>
      </c>
      <c r="AN60" s="43"/>
      <c r="AO60" s="40">
        <v>1</v>
      </c>
      <c r="AQ60" s="218">
        <v>0</v>
      </c>
      <c r="AT60" s="38">
        <f>IF(AQ60+8&lt;30,AQ60+8,AQ60+8-30)</f>
        <v>8</v>
      </c>
      <c r="AU60" s="391"/>
      <c r="AV60" s="38">
        <f>IF(AO60-3&lt;1,AO60-3+19,AO60-3)</f>
        <v>17</v>
      </c>
      <c r="AW60" s="391"/>
      <c r="AX60" s="38">
        <v>5</v>
      </c>
      <c r="AY60" s="38">
        <f>MOD(($AT$82+AX60),7)</f>
        <v>6</v>
      </c>
      <c r="AZ60" s="38">
        <f>IF($AT$82+AX60&gt;7,$AT$82+AX60-7,$AT$82+AX60)</f>
        <v>6</v>
      </c>
      <c r="BA60" s="38" t="str">
        <f>VLOOKUP($AZ60,$AJ$20:$AM$27,3)</f>
        <v>Viernes</v>
      </c>
      <c r="BC60" s="38">
        <f>8-AZ60</f>
        <v>2</v>
      </c>
      <c r="BE60" s="38">
        <v>26</v>
      </c>
      <c r="BG60" s="38">
        <f>11+BE60</f>
        <v>37</v>
      </c>
      <c r="BI60" s="38" t="s">
        <v>33</v>
      </c>
      <c r="BN60" s="708" t="s">
        <v>563</v>
      </c>
      <c r="BO60" s="708"/>
      <c r="BP60" s="38">
        <f>VLOOKUP(AO58,AO60:BE78,17,)</f>
        <v>36</v>
      </c>
    </row>
    <row r="61" spans="2:72" ht="12.75" customHeight="1">
      <c r="H61" s="38" t="s">
        <v>564</v>
      </c>
      <c r="Q61" s="38" t="s">
        <v>272</v>
      </c>
      <c r="Y61" s="42"/>
      <c r="Z61" s="44" t="s">
        <v>242</v>
      </c>
      <c r="AA61" s="43"/>
      <c r="AB61" s="43"/>
      <c r="AC61" s="43"/>
      <c r="AD61" s="43" t="s">
        <v>410</v>
      </c>
      <c r="AE61" s="43"/>
      <c r="AF61" s="709">
        <f>Z14</f>
        <v>45505</v>
      </c>
      <c r="AG61" s="709"/>
      <c r="AH61" s="43">
        <f>$AB$14</f>
        <v>4</v>
      </c>
      <c r="AI61" s="43"/>
      <c r="AJ61" s="43"/>
      <c r="AK61" s="43">
        <v>2</v>
      </c>
      <c r="AL61" s="43">
        <v>11</v>
      </c>
      <c r="AM61" s="43">
        <f t="shared" ref="AM61:AM66" si="34">IF(AK61=$AH$61,AL61,0)</f>
        <v>0</v>
      </c>
      <c r="AN61" s="43"/>
      <c r="AO61" s="40">
        <v>2</v>
      </c>
      <c r="AQ61" s="218">
        <v>11</v>
      </c>
      <c r="AT61" s="38">
        <f t="shared" ref="AT61:AT78" si="35">IF(AQ61+8&lt;30,AQ61+8,AQ61+8-30)</f>
        <v>19</v>
      </c>
      <c r="AU61" s="391"/>
      <c r="AV61" s="38">
        <f>IF(AO61-3&lt;1,AO61-3+19,AO61-3)</f>
        <v>18</v>
      </c>
      <c r="AW61" s="391"/>
      <c r="AX61" s="38">
        <v>1</v>
      </c>
      <c r="AY61" s="38">
        <f t="shared" ref="AY61:AY78" si="36">MOD(($AT$82+AX61),7)</f>
        <v>2</v>
      </c>
      <c r="AZ61" s="38">
        <f t="shared" ref="AZ61:AZ78" si="37">IF($AT$82+AX61&gt;7,$AT$82+AX61-7,$AT$82+AX61)</f>
        <v>2</v>
      </c>
      <c r="BA61" s="38" t="str">
        <f t="shared" ref="BA61:BA78" si="38">VLOOKUP($AZ61,$AJ$20:$AM$27,3)</f>
        <v>Lunes</v>
      </c>
      <c r="BC61" s="38">
        <f t="shared" ref="BC61:BC78" si="39">8-AZ61</f>
        <v>6</v>
      </c>
      <c r="BE61" s="38">
        <v>15</v>
      </c>
      <c r="BG61" s="38">
        <f t="shared" ref="BG61:BG78" si="40">11+BE61</f>
        <v>26</v>
      </c>
      <c r="BI61" s="409">
        <f>AU87</f>
        <v>2024</v>
      </c>
      <c r="BN61" s="58" t="s">
        <v>565</v>
      </c>
      <c r="BQ61" s="38" t="s">
        <v>566</v>
      </c>
    </row>
    <row r="62" spans="2:72" ht="12.75" customHeight="1">
      <c r="F62" s="291">
        <f>DAY(G62)</f>
        <v>20</v>
      </c>
      <c r="G62" s="710">
        <f>H59+1</f>
        <v>45432</v>
      </c>
      <c r="H62" s="711"/>
      <c r="I62" s="711"/>
      <c r="N62" s="38">
        <f>IF(V4&gt;1976,7,10)</f>
        <v>7</v>
      </c>
      <c r="P62" s="410">
        <f>DAY(R62)</f>
        <v>12</v>
      </c>
      <c r="R62" s="696">
        <f>H59-N62</f>
        <v>45424</v>
      </c>
      <c r="S62" s="638"/>
      <c r="Y62" s="42"/>
      <c r="Z62" s="712">
        <v>38945</v>
      </c>
      <c r="AA62" s="712"/>
      <c r="AB62" s="43">
        <f>$AG$4</f>
        <v>2024</v>
      </c>
      <c r="AD62" s="43"/>
      <c r="AE62" s="43"/>
      <c r="AF62" s="629"/>
      <c r="AG62" s="629"/>
      <c r="AH62" s="43"/>
      <c r="AI62" s="43"/>
      <c r="AJ62" s="43"/>
      <c r="AK62" s="43">
        <v>3</v>
      </c>
      <c r="AL62" s="43">
        <v>10</v>
      </c>
      <c r="AM62" s="43">
        <f t="shared" si="34"/>
        <v>0</v>
      </c>
      <c r="AN62" s="43"/>
      <c r="AO62" s="40">
        <v>3</v>
      </c>
      <c r="AQ62" s="218">
        <v>22</v>
      </c>
      <c r="AT62" s="38">
        <f t="shared" si="35"/>
        <v>0</v>
      </c>
      <c r="AU62" s="391"/>
      <c r="AV62" s="38">
        <f>IF(AO62-3&lt;1,AO62-3+19,AO62-3)</f>
        <v>19</v>
      </c>
      <c r="AW62" s="391"/>
      <c r="AX62" s="38">
        <v>6</v>
      </c>
      <c r="AY62" s="38">
        <f t="shared" si="36"/>
        <v>0</v>
      </c>
      <c r="AZ62" s="38">
        <f t="shared" si="37"/>
        <v>7</v>
      </c>
      <c r="BA62" s="38" t="str">
        <f t="shared" si="38"/>
        <v>Sábado</v>
      </c>
      <c r="BC62" s="38">
        <f t="shared" si="39"/>
        <v>1</v>
      </c>
      <c r="BE62" s="38">
        <v>34</v>
      </c>
      <c r="BG62" s="38">
        <f t="shared" si="40"/>
        <v>45</v>
      </c>
      <c r="BK62" s="38" t="s">
        <v>567</v>
      </c>
      <c r="BN62" s="58" t="s">
        <v>568</v>
      </c>
      <c r="BQ62" s="391">
        <v>42440</v>
      </c>
      <c r="BS62" s="391">
        <f>BQ62+BE81</f>
        <v>42476</v>
      </c>
      <c r="BT62" s="391">
        <f>BQ62+44</f>
        <v>42484</v>
      </c>
    </row>
    <row r="63" spans="2:72" ht="12.75" customHeight="1">
      <c r="Z63" s="43"/>
      <c r="AA63" s="43"/>
      <c r="AB63" s="43"/>
      <c r="AC63" s="44" t="s">
        <v>411</v>
      </c>
      <c r="AD63" s="43"/>
      <c r="AE63" s="43"/>
      <c r="AF63" s="43">
        <f>IF(AP52=1,AM52," ")</f>
        <v>8</v>
      </c>
      <c r="AG63" s="43" t="str">
        <f>IF(AP52=1,"ago"," ")</f>
        <v>ago</v>
      </c>
      <c r="AH63" s="47">
        <f>AH60</f>
        <v>2024</v>
      </c>
      <c r="AI63" s="43">
        <v>11</v>
      </c>
      <c r="AJ63" s="43"/>
      <c r="AK63" s="43">
        <v>4</v>
      </c>
      <c r="AL63" s="43">
        <v>9</v>
      </c>
      <c r="AM63" s="43">
        <f t="shared" si="34"/>
        <v>9</v>
      </c>
      <c r="AN63" s="43"/>
      <c r="AO63" s="40">
        <v>4</v>
      </c>
      <c r="AQ63" s="218">
        <v>3</v>
      </c>
      <c r="AT63" s="38">
        <f t="shared" si="35"/>
        <v>11</v>
      </c>
      <c r="AU63" s="391"/>
      <c r="AV63" s="38">
        <f>IF(AO63-3&lt;1,AO63-3+19,AO63-3)</f>
        <v>1</v>
      </c>
      <c r="AW63" s="391"/>
      <c r="AX63" s="38">
        <v>2</v>
      </c>
      <c r="AY63" s="38">
        <f t="shared" si="36"/>
        <v>3</v>
      </c>
      <c r="AZ63" s="38">
        <f t="shared" si="37"/>
        <v>3</v>
      </c>
      <c r="BA63" s="38" t="str">
        <f t="shared" si="38"/>
        <v>Martes</v>
      </c>
      <c r="BC63" s="38">
        <f t="shared" si="39"/>
        <v>5</v>
      </c>
      <c r="BE63" s="38">
        <v>23</v>
      </c>
      <c r="BG63" s="38">
        <f t="shared" si="40"/>
        <v>34</v>
      </c>
      <c r="BK63" s="38" t="s">
        <v>569</v>
      </c>
      <c r="BN63" s="58" t="s">
        <v>206</v>
      </c>
      <c r="BQ63" s="391">
        <v>42489</v>
      </c>
      <c r="BS63" s="391">
        <f>BQ63+BE81</f>
        <v>42525</v>
      </c>
    </row>
    <row r="64" spans="2:72" ht="12.75" customHeight="1">
      <c r="F64" s="38" t="s">
        <v>570</v>
      </c>
      <c r="M64" s="411"/>
      <c r="Z64" s="43"/>
      <c r="AA64" s="43"/>
      <c r="AB64" s="43"/>
      <c r="AF64" s="723" t="str">
        <f>CONCATENATE(AF63,AG63,AH63)</f>
        <v>8ago2024</v>
      </c>
      <c r="AG64" s="634"/>
      <c r="AI64" s="723" t="str">
        <f>CONCATENATE(AI63,AG63,AH63)</f>
        <v>11ago2024</v>
      </c>
      <c r="AJ64" s="634"/>
      <c r="AK64" s="43">
        <v>5</v>
      </c>
      <c r="AL64" s="43">
        <v>8</v>
      </c>
      <c r="AM64" s="43">
        <f t="shared" si="34"/>
        <v>0</v>
      </c>
      <c r="AN64" s="43"/>
      <c r="AO64" s="40">
        <v>5</v>
      </c>
      <c r="AQ64" s="218">
        <v>14</v>
      </c>
      <c r="AT64" s="38">
        <f t="shared" si="35"/>
        <v>22</v>
      </c>
      <c r="AU64" s="391"/>
      <c r="AV64" s="38">
        <f t="shared" ref="AV64:AV78" si="41">IF(AO64-3&lt;1,AO64-3+19,AO64-3)</f>
        <v>2</v>
      </c>
      <c r="AW64" s="391"/>
      <c r="AX64" s="38">
        <v>5</v>
      </c>
      <c r="AY64" s="38">
        <f t="shared" si="36"/>
        <v>6</v>
      </c>
      <c r="AZ64" s="38">
        <f t="shared" si="37"/>
        <v>6</v>
      </c>
      <c r="BA64" s="38" t="str">
        <f t="shared" si="38"/>
        <v>Viernes</v>
      </c>
      <c r="BC64" s="38">
        <f t="shared" si="39"/>
        <v>2</v>
      </c>
      <c r="BE64" s="38">
        <v>12</v>
      </c>
      <c r="BG64" s="38">
        <f t="shared" si="40"/>
        <v>23</v>
      </c>
      <c r="BK64" s="38" t="s">
        <v>571</v>
      </c>
      <c r="BN64" s="38" t="s">
        <v>572</v>
      </c>
      <c r="BQ64" s="391">
        <v>42496</v>
      </c>
      <c r="BS64" s="391">
        <f>BQ64+BE81</f>
        <v>42532</v>
      </c>
    </row>
    <row r="65" spans="6:63" ht="13.5" customHeight="1">
      <c r="F65" s="38" t="s">
        <v>573</v>
      </c>
      <c r="Z65" s="43"/>
      <c r="AA65" s="43"/>
      <c r="AB65" s="43"/>
      <c r="AC65" s="43"/>
      <c r="AD65" s="43"/>
      <c r="AE65" s="43"/>
      <c r="AF65" s="661">
        <f>IF(AP52=1,AM52," ")</f>
        <v>8</v>
      </c>
      <c r="AG65" s="661"/>
      <c r="AH65" s="43"/>
      <c r="AI65" s="661">
        <f>AI63</f>
        <v>11</v>
      </c>
      <c r="AJ65" s="661"/>
      <c r="AK65" s="43">
        <v>6</v>
      </c>
      <c r="AL65" s="43">
        <v>14</v>
      </c>
      <c r="AM65" s="43">
        <f t="shared" si="34"/>
        <v>0</v>
      </c>
      <c r="AN65" s="43"/>
      <c r="AO65" s="40">
        <v>6</v>
      </c>
      <c r="AQ65" s="218">
        <v>25</v>
      </c>
      <c r="AT65" s="38">
        <f t="shared" si="35"/>
        <v>3</v>
      </c>
      <c r="AU65" s="391"/>
      <c r="AV65" s="38">
        <f t="shared" si="41"/>
        <v>3</v>
      </c>
      <c r="AW65" s="391"/>
      <c r="AX65" s="38">
        <v>3</v>
      </c>
      <c r="AY65" s="38">
        <f t="shared" si="36"/>
        <v>4</v>
      </c>
      <c r="AZ65" s="38">
        <f t="shared" si="37"/>
        <v>4</v>
      </c>
      <c r="BA65" s="38" t="str">
        <f t="shared" si="38"/>
        <v>Miércoles</v>
      </c>
      <c r="BC65" s="38">
        <f t="shared" si="39"/>
        <v>4</v>
      </c>
      <c r="BE65" s="38">
        <v>31</v>
      </c>
      <c r="BG65" s="38">
        <f t="shared" si="40"/>
        <v>42</v>
      </c>
      <c r="BK65" s="38" t="s">
        <v>574</v>
      </c>
    </row>
    <row r="66" spans="6:63" ht="12.75" hidden="1" customHeight="1"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>
        <v>0</v>
      </c>
      <c r="AL66" s="43">
        <v>13</v>
      </c>
      <c r="AM66" s="43">
        <f t="shared" si="34"/>
        <v>0</v>
      </c>
      <c r="AN66" s="43"/>
      <c r="AO66" s="40">
        <v>7</v>
      </c>
      <c r="AQ66" s="218">
        <v>6</v>
      </c>
      <c r="AT66" s="38">
        <f t="shared" si="35"/>
        <v>14</v>
      </c>
      <c r="AU66" s="391"/>
      <c r="AV66" s="38">
        <f t="shared" si="41"/>
        <v>4</v>
      </c>
      <c r="AW66" s="391"/>
      <c r="AX66" s="38">
        <v>6</v>
      </c>
      <c r="AY66" s="38">
        <f t="shared" si="36"/>
        <v>0</v>
      </c>
      <c r="AZ66" s="38">
        <f t="shared" si="37"/>
        <v>7</v>
      </c>
      <c r="BA66" s="38" t="str">
        <f t="shared" si="38"/>
        <v>Sábado</v>
      </c>
      <c r="BC66" s="38">
        <f t="shared" si="39"/>
        <v>1</v>
      </c>
      <c r="BE66" s="38">
        <v>20</v>
      </c>
      <c r="BG66" s="38">
        <f t="shared" si="40"/>
        <v>31</v>
      </c>
      <c r="BK66" s="38" t="s">
        <v>575</v>
      </c>
    </row>
    <row r="67" spans="6:63" ht="12.75" hidden="1" customHeight="1">
      <c r="Z67" s="43"/>
      <c r="AA67" s="43"/>
      <c r="AB67" s="43"/>
      <c r="AC67" s="43" t="s">
        <v>412</v>
      </c>
      <c r="AD67" s="43"/>
      <c r="AE67" s="43"/>
      <c r="AF67" s="43">
        <f>IF(AP52=1,AF63+10," ")</f>
        <v>18</v>
      </c>
      <c r="AG67" s="43" t="str">
        <f>AG63</f>
        <v>ago</v>
      </c>
      <c r="AH67" s="47">
        <f>AH60</f>
        <v>2024</v>
      </c>
      <c r="AI67" s="43"/>
      <c r="AJ67" s="43"/>
      <c r="AK67" s="43"/>
      <c r="AL67" s="43"/>
      <c r="AM67" s="40">
        <f>SUM(AM60:AM66)-1</f>
        <v>8</v>
      </c>
      <c r="AO67" s="40">
        <v>8</v>
      </c>
      <c r="AQ67" s="218">
        <v>17</v>
      </c>
      <c r="AT67" s="38">
        <f t="shared" si="35"/>
        <v>25</v>
      </c>
      <c r="AU67" s="391"/>
      <c r="AV67" s="38">
        <f t="shared" si="41"/>
        <v>5</v>
      </c>
      <c r="AW67" s="391"/>
      <c r="AX67" s="38">
        <v>4</v>
      </c>
      <c r="AY67" s="38">
        <f t="shared" si="36"/>
        <v>5</v>
      </c>
      <c r="AZ67" s="38">
        <f t="shared" si="37"/>
        <v>5</v>
      </c>
      <c r="BA67" s="38" t="str">
        <f t="shared" si="38"/>
        <v>Jueves</v>
      </c>
      <c r="BC67" s="38">
        <f t="shared" si="39"/>
        <v>3</v>
      </c>
      <c r="BE67" s="38">
        <v>39</v>
      </c>
      <c r="BG67" s="38">
        <f t="shared" si="40"/>
        <v>50</v>
      </c>
      <c r="BK67" s="38" t="s">
        <v>576</v>
      </c>
    </row>
    <row r="68" spans="6:63" ht="12.75" hidden="1" customHeight="1">
      <c r="AF68" s="723" t="str">
        <f>CONCATENATE(AF67,AG67,AH67)</f>
        <v>18ago2024</v>
      </c>
      <c r="AG68" s="634"/>
      <c r="AM68" s="40">
        <f>AM67</f>
        <v>8</v>
      </c>
      <c r="AO68" s="40">
        <v>9</v>
      </c>
      <c r="AQ68" s="218">
        <v>28</v>
      </c>
      <c r="AT68" s="38">
        <f t="shared" si="35"/>
        <v>6</v>
      </c>
      <c r="AU68" s="391"/>
      <c r="AV68" s="38">
        <f t="shared" si="41"/>
        <v>6</v>
      </c>
      <c r="AW68" s="391"/>
      <c r="AX68" s="38">
        <v>7</v>
      </c>
      <c r="AY68" s="38">
        <f t="shared" si="36"/>
        <v>1</v>
      </c>
      <c r="AZ68" s="38">
        <f t="shared" si="37"/>
        <v>1</v>
      </c>
      <c r="BA68" s="38" t="str">
        <f t="shared" si="38"/>
        <v>Domingo</v>
      </c>
      <c r="BC68" s="38">
        <f t="shared" si="39"/>
        <v>7</v>
      </c>
      <c r="BE68" s="38">
        <v>28</v>
      </c>
      <c r="BG68" s="38">
        <f t="shared" si="40"/>
        <v>39</v>
      </c>
    </row>
    <row r="69" spans="6:63" ht="12.75" hidden="1" customHeight="1">
      <c r="AF69" s="661">
        <f>AF67</f>
        <v>18</v>
      </c>
      <c r="AG69" s="661"/>
      <c r="AO69" s="40">
        <v>10</v>
      </c>
      <c r="AQ69" s="218">
        <v>9</v>
      </c>
      <c r="AT69" s="38">
        <f t="shared" si="35"/>
        <v>17</v>
      </c>
      <c r="AU69" s="391"/>
      <c r="AV69" s="38">
        <f t="shared" si="41"/>
        <v>7</v>
      </c>
      <c r="AW69" s="391"/>
      <c r="AX69" s="38">
        <v>3</v>
      </c>
      <c r="AY69" s="38">
        <f t="shared" si="36"/>
        <v>4</v>
      </c>
      <c r="AZ69" s="38">
        <f t="shared" si="37"/>
        <v>4</v>
      </c>
      <c r="BA69" s="38" t="str">
        <f t="shared" si="38"/>
        <v>Miércoles</v>
      </c>
      <c r="BC69" s="38">
        <f t="shared" si="39"/>
        <v>4</v>
      </c>
      <c r="BE69" s="38">
        <v>17</v>
      </c>
      <c r="BG69" s="38">
        <f t="shared" si="40"/>
        <v>28</v>
      </c>
    </row>
    <row r="70" spans="6:63" ht="12.75" hidden="1" customHeight="1">
      <c r="X70" s="412"/>
      <c r="Y70" s="413"/>
      <c r="Z70" s="254" t="s">
        <v>577</v>
      </c>
      <c r="AA70" s="254"/>
      <c r="AB70" s="254"/>
      <c r="AC70" s="254"/>
      <c r="AO70" s="40">
        <v>11</v>
      </c>
      <c r="AQ70" s="218">
        <v>20</v>
      </c>
      <c r="AT70" s="38">
        <f t="shared" si="35"/>
        <v>28</v>
      </c>
      <c r="AU70" s="391"/>
      <c r="AV70" s="38">
        <f t="shared" si="41"/>
        <v>8</v>
      </c>
      <c r="AW70" s="391"/>
      <c r="AX70" s="38">
        <v>1</v>
      </c>
      <c r="AY70" s="38">
        <f t="shared" si="36"/>
        <v>2</v>
      </c>
      <c r="AZ70" s="38">
        <f t="shared" si="37"/>
        <v>2</v>
      </c>
      <c r="BA70" s="38" t="str">
        <f t="shared" si="38"/>
        <v>Lunes</v>
      </c>
      <c r="BC70" s="38">
        <f t="shared" si="39"/>
        <v>6</v>
      </c>
      <c r="BE70" s="38">
        <v>36</v>
      </c>
      <c r="BG70" s="38">
        <f t="shared" si="40"/>
        <v>47</v>
      </c>
      <c r="BI70" s="38" t="s">
        <v>365</v>
      </c>
      <c r="BJ70" s="38">
        <f>MOD((11*(AV87-1)),30)</f>
        <v>20</v>
      </c>
    </row>
    <row r="71" spans="6:63" ht="12.75" hidden="1" customHeight="1">
      <c r="V71" s="414"/>
      <c r="Y71" s="415" t="s">
        <v>578</v>
      </c>
      <c r="Z71" s="40">
        <f>IF(AB18&lt;&gt;0,AB18-1,6)</f>
        <v>6</v>
      </c>
      <c r="AA71" s="720" t="str">
        <f>VLOOKUP(Z71,$AK$20:$AL$27,2)</f>
        <v>Sábado</v>
      </c>
      <c r="AB71" s="720"/>
      <c r="AD71" s="40">
        <f>IF(Z71&gt;3,Z71,30-Z71)</f>
        <v>6</v>
      </c>
      <c r="AE71" s="721" t="str">
        <f>VLOOKUP(Z71,Z73:AA79,2)</f>
        <v>1-des</v>
      </c>
      <c r="AF71" s="722"/>
      <c r="AO71" s="40">
        <v>12</v>
      </c>
      <c r="AQ71" s="218">
        <v>1</v>
      </c>
      <c r="AT71" s="38">
        <f t="shared" si="35"/>
        <v>9</v>
      </c>
      <c r="AU71" s="391"/>
      <c r="AV71" s="38">
        <f t="shared" si="41"/>
        <v>9</v>
      </c>
      <c r="AW71" s="391"/>
      <c r="AX71" s="38">
        <v>4</v>
      </c>
      <c r="AY71" s="38">
        <f t="shared" si="36"/>
        <v>5</v>
      </c>
      <c r="AZ71" s="38">
        <f t="shared" si="37"/>
        <v>5</v>
      </c>
      <c r="BA71" s="38" t="str">
        <f t="shared" si="38"/>
        <v>Jueves</v>
      </c>
      <c r="BC71" s="38">
        <f t="shared" si="39"/>
        <v>3</v>
      </c>
      <c r="BE71" s="38">
        <v>25</v>
      </c>
      <c r="BG71" s="38">
        <f t="shared" si="40"/>
        <v>36</v>
      </c>
      <c r="BI71" s="38" t="s">
        <v>366</v>
      </c>
      <c r="BJ71" s="38">
        <f>((INT((AU87/100)+1)))</f>
        <v>21</v>
      </c>
    </row>
    <row r="72" spans="6:63" ht="12.75" hidden="1" customHeight="1">
      <c r="Y72" s="416"/>
      <c r="AO72" s="40">
        <v>13</v>
      </c>
      <c r="AQ72" s="218">
        <v>12</v>
      </c>
      <c r="AT72" s="38">
        <f t="shared" si="35"/>
        <v>20</v>
      </c>
      <c r="AU72" s="391"/>
      <c r="AV72" s="38">
        <f t="shared" si="41"/>
        <v>10</v>
      </c>
      <c r="AW72" s="391"/>
      <c r="AX72" s="38">
        <v>7</v>
      </c>
      <c r="AY72" s="38">
        <f t="shared" si="36"/>
        <v>1</v>
      </c>
      <c r="AZ72" s="38">
        <f t="shared" si="37"/>
        <v>1</v>
      </c>
      <c r="BA72" s="38" t="str">
        <f t="shared" si="38"/>
        <v>Domingo</v>
      </c>
      <c r="BC72" s="38">
        <f t="shared" si="39"/>
        <v>7</v>
      </c>
      <c r="BE72" s="38">
        <v>14</v>
      </c>
      <c r="BG72" s="38">
        <f t="shared" si="40"/>
        <v>25</v>
      </c>
      <c r="BI72" s="38" t="s">
        <v>367</v>
      </c>
      <c r="BJ72" s="38">
        <f>INT((3*BJ71)/4)</f>
        <v>15</v>
      </c>
    </row>
    <row r="73" spans="6:63" ht="12.75" hidden="1" customHeight="1">
      <c r="Y73" s="415"/>
      <c r="Z73" s="40">
        <v>0</v>
      </c>
      <c r="AA73" s="417">
        <v>42704</v>
      </c>
      <c r="AO73" s="40">
        <v>14</v>
      </c>
      <c r="AQ73" s="218">
        <v>23</v>
      </c>
      <c r="AT73" s="38">
        <f t="shared" si="35"/>
        <v>1</v>
      </c>
      <c r="AU73" s="391"/>
      <c r="AV73" s="38">
        <f t="shared" si="41"/>
        <v>11</v>
      </c>
      <c r="AW73" s="391"/>
      <c r="AX73" s="38">
        <v>5</v>
      </c>
      <c r="AY73" s="38">
        <f t="shared" si="36"/>
        <v>6</v>
      </c>
      <c r="AZ73" s="38">
        <f t="shared" si="37"/>
        <v>6</v>
      </c>
      <c r="BA73" s="38" t="str">
        <f t="shared" si="38"/>
        <v>Viernes</v>
      </c>
      <c r="BC73" s="38">
        <f t="shared" si="39"/>
        <v>2</v>
      </c>
      <c r="BE73" s="38">
        <v>33</v>
      </c>
      <c r="BG73" s="38">
        <f t="shared" si="40"/>
        <v>44</v>
      </c>
      <c r="BI73" s="38" t="s">
        <v>368</v>
      </c>
      <c r="BJ73" s="38">
        <f>INT((8*BJ71+5)/25)</f>
        <v>6</v>
      </c>
    </row>
    <row r="74" spans="6:63" ht="12.75" hidden="1" customHeight="1">
      <c r="Z74" s="40">
        <v>1</v>
      </c>
      <c r="AA74" s="417">
        <v>42703</v>
      </c>
      <c r="AF74" s="225"/>
      <c r="AO74" s="40">
        <v>15</v>
      </c>
      <c r="AQ74" s="218">
        <v>4</v>
      </c>
      <c r="AT74" s="38">
        <f t="shared" si="35"/>
        <v>12</v>
      </c>
      <c r="AU74" s="391"/>
      <c r="AV74" s="38">
        <f t="shared" si="41"/>
        <v>12</v>
      </c>
      <c r="AW74" s="391"/>
      <c r="AX74" s="38">
        <v>1</v>
      </c>
      <c r="AY74" s="38">
        <f t="shared" si="36"/>
        <v>2</v>
      </c>
      <c r="AZ74" s="38">
        <f t="shared" si="37"/>
        <v>2</v>
      </c>
      <c r="BA74" s="38" t="str">
        <f t="shared" si="38"/>
        <v>Lunes</v>
      </c>
      <c r="BC74" s="38">
        <f t="shared" si="39"/>
        <v>6</v>
      </c>
      <c r="BE74" s="38">
        <v>22</v>
      </c>
      <c r="BG74" s="38">
        <f t="shared" si="40"/>
        <v>33</v>
      </c>
      <c r="BI74" s="38" t="s">
        <v>369</v>
      </c>
      <c r="BJ74" s="38">
        <f>BJ70-BJ72+BJ73+8</f>
        <v>19</v>
      </c>
    </row>
    <row r="75" spans="6:63" ht="12.75" hidden="1" customHeight="1">
      <c r="Z75" s="40">
        <v>2</v>
      </c>
      <c r="AA75" s="417">
        <v>42702</v>
      </c>
      <c r="AO75" s="40">
        <v>16</v>
      </c>
      <c r="AQ75" s="218">
        <v>15</v>
      </c>
      <c r="AT75" s="38">
        <f t="shared" si="35"/>
        <v>23</v>
      </c>
      <c r="AU75" s="391"/>
      <c r="AV75" s="38">
        <f t="shared" si="41"/>
        <v>13</v>
      </c>
      <c r="AW75" s="391"/>
      <c r="AX75" s="38">
        <v>4</v>
      </c>
      <c r="AY75" s="38">
        <f t="shared" si="36"/>
        <v>5</v>
      </c>
      <c r="AZ75" s="38">
        <f t="shared" si="37"/>
        <v>5</v>
      </c>
      <c r="BA75" s="38" t="str">
        <f t="shared" si="38"/>
        <v>Jueves</v>
      </c>
      <c r="BC75" s="38">
        <f t="shared" si="39"/>
        <v>3</v>
      </c>
      <c r="BE75" s="38">
        <v>11</v>
      </c>
      <c r="BG75" s="38">
        <f t="shared" si="40"/>
        <v>22</v>
      </c>
    </row>
    <row r="76" spans="6:63" ht="12.75" hidden="1" customHeight="1">
      <c r="Z76" s="40">
        <v>3</v>
      </c>
      <c r="AA76" s="418">
        <v>42701</v>
      </c>
      <c r="AO76" s="40">
        <v>17</v>
      </c>
      <c r="AQ76" s="218">
        <v>26</v>
      </c>
      <c r="AT76" s="38">
        <f t="shared" si="35"/>
        <v>4</v>
      </c>
      <c r="AU76" s="391"/>
      <c r="AV76" s="38">
        <f t="shared" si="41"/>
        <v>14</v>
      </c>
      <c r="AW76" s="391"/>
      <c r="AX76" s="38">
        <v>2</v>
      </c>
      <c r="AY76" s="38">
        <f t="shared" si="36"/>
        <v>3</v>
      </c>
      <c r="AZ76" s="38">
        <f t="shared" si="37"/>
        <v>3</v>
      </c>
      <c r="BA76" s="38" t="str">
        <f t="shared" si="38"/>
        <v>Martes</v>
      </c>
      <c r="BC76" s="38">
        <f t="shared" si="39"/>
        <v>5</v>
      </c>
      <c r="BE76" s="38">
        <v>30</v>
      </c>
      <c r="BG76" s="38">
        <f t="shared" si="40"/>
        <v>41</v>
      </c>
    </row>
    <row r="77" spans="6:63" ht="12.75" hidden="1" customHeight="1">
      <c r="Z77" s="40">
        <v>4</v>
      </c>
      <c r="AA77" s="225" t="s">
        <v>583</v>
      </c>
      <c r="AO77" s="40">
        <v>18</v>
      </c>
      <c r="AQ77" s="218">
        <v>7</v>
      </c>
      <c r="AT77" s="38">
        <f t="shared" si="35"/>
        <v>15</v>
      </c>
      <c r="AU77" s="391"/>
      <c r="AV77" s="38">
        <f t="shared" si="41"/>
        <v>15</v>
      </c>
      <c r="AW77" s="391"/>
      <c r="AX77" s="38">
        <v>5</v>
      </c>
      <c r="AY77" s="38">
        <f t="shared" si="36"/>
        <v>6</v>
      </c>
      <c r="AZ77" s="38">
        <f t="shared" si="37"/>
        <v>6</v>
      </c>
      <c r="BA77" s="38" t="str">
        <f t="shared" si="38"/>
        <v>Viernes</v>
      </c>
      <c r="BC77" s="38">
        <f t="shared" si="39"/>
        <v>2</v>
      </c>
      <c r="BE77" s="38">
        <v>19</v>
      </c>
      <c r="BG77" s="38">
        <f t="shared" si="40"/>
        <v>30</v>
      </c>
    </row>
    <row r="78" spans="6:63" ht="12.75" hidden="1" customHeight="1">
      <c r="Z78" s="40">
        <v>5</v>
      </c>
      <c r="AA78" s="225" t="s">
        <v>584</v>
      </c>
      <c r="AO78" s="40">
        <v>19</v>
      </c>
      <c r="AQ78" s="218">
        <v>18</v>
      </c>
      <c r="AT78" s="38">
        <f t="shared" si="35"/>
        <v>26</v>
      </c>
      <c r="AU78" s="391"/>
      <c r="AV78" s="38">
        <f t="shared" si="41"/>
        <v>16</v>
      </c>
      <c r="AW78" s="391"/>
      <c r="AX78" s="38">
        <v>3</v>
      </c>
      <c r="AY78" s="38">
        <f t="shared" si="36"/>
        <v>4</v>
      </c>
      <c r="AZ78" s="38">
        <f t="shared" si="37"/>
        <v>4</v>
      </c>
      <c r="BA78" s="38" t="str">
        <f t="shared" si="38"/>
        <v>Miércoles</v>
      </c>
      <c r="BC78" s="38">
        <f t="shared" si="39"/>
        <v>4</v>
      </c>
      <c r="BE78" s="38">
        <v>38</v>
      </c>
      <c r="BG78" s="38">
        <f t="shared" si="40"/>
        <v>49</v>
      </c>
    </row>
    <row r="79" spans="6:63" ht="12.75" hidden="1" customHeight="1">
      <c r="Z79" s="40">
        <v>6</v>
      </c>
      <c r="AA79" s="225" t="s">
        <v>585</v>
      </c>
      <c r="AK79" s="417">
        <v>42370</v>
      </c>
      <c r="BC79" s="38" t="s">
        <v>45</v>
      </c>
    </row>
    <row r="80" spans="6:63" ht="12.75" hidden="1" customHeight="1">
      <c r="AK80" s="40" t="s">
        <v>587</v>
      </c>
      <c r="AO80" s="40" t="s">
        <v>318</v>
      </c>
      <c r="AX80" s="38">
        <f>VLOOKUP(AV87,AO60:AX78,10,FALSE)</f>
        <v>1</v>
      </c>
      <c r="BA80" s="38" t="s">
        <v>588</v>
      </c>
      <c r="BC80" s="38" t="s">
        <v>34</v>
      </c>
      <c r="BE80" s="38" t="s">
        <v>589</v>
      </c>
      <c r="BG80" s="58" t="s">
        <v>568</v>
      </c>
    </row>
    <row r="81" spans="1:64" ht="12.75" hidden="1" customHeight="1">
      <c r="L81" s="411"/>
      <c r="AK81" s="40">
        <f>luna!$A$69</f>
        <v>19</v>
      </c>
      <c r="AO81" s="40">
        <f>VLOOKUP($AO$58,$AO$60:$AT$78,6)</f>
        <v>28</v>
      </c>
      <c r="AT81" s="38" t="s">
        <v>428</v>
      </c>
      <c r="AV81" s="38" t="s">
        <v>429</v>
      </c>
      <c r="AX81" s="38" t="s">
        <v>430</v>
      </c>
      <c r="AZ81" s="38">
        <f>VLOOKUP(AO58,AO60:AZ78,12,)</f>
        <v>2</v>
      </c>
      <c r="BA81" s="38" t="str">
        <f>VLOOKUP($AZ81,$AJ$20:$AM$27,3)</f>
        <v>Lunes</v>
      </c>
      <c r="BC81" s="38">
        <f>VLOOKUP(AO58,AO60:BC78,15,)</f>
        <v>6</v>
      </c>
      <c r="BE81" s="38">
        <f>VLOOKUP(AO58,AO60:BE78,17,)</f>
        <v>36</v>
      </c>
      <c r="BG81" s="38">
        <f>VLOOKUP(AO58,AO60:BG78,19,)</f>
        <v>47</v>
      </c>
    </row>
    <row r="82" spans="1:64" ht="12.75" hidden="1" customHeight="1">
      <c r="AK82" s="40" t="s">
        <v>431</v>
      </c>
      <c r="AT82" s="218">
        <f>$AX$12</f>
        <v>1</v>
      </c>
      <c r="AV82" s="38">
        <f>VLOOKUP(AO58,AO60:AV78,8,)</f>
        <v>8</v>
      </c>
    </row>
    <row r="83" spans="1:64" ht="12.75" hidden="1" customHeight="1">
      <c r="AK83" s="40">
        <f>IF(AK81-8&gt;0,AK81-8,AK81-8+30)</f>
        <v>11</v>
      </c>
      <c r="AN83" s="225" t="s">
        <v>431</v>
      </c>
    </row>
    <row r="84" spans="1:64" ht="12.75" hidden="1" customHeight="1">
      <c r="A84" s="505"/>
      <c r="B84" s="505">
        <f>Principal!$C$10</f>
        <v>2024</v>
      </c>
      <c r="C84" s="505"/>
      <c r="D84" s="505"/>
      <c r="E84" s="505"/>
      <c r="F84" s="505"/>
      <c r="G84" s="505"/>
      <c r="H84" s="505"/>
      <c r="AK84" s="40">
        <f>IF(AU87&lt;1583,AO84,AK83)</f>
        <v>11</v>
      </c>
      <c r="AO84" s="40">
        <f>VLOOKUP($AO$58,$AO$60:$AT$78,3)</f>
        <v>20</v>
      </c>
    </row>
    <row r="85" spans="1:64" ht="12.75" hidden="1" customHeight="1">
      <c r="A85" s="505"/>
      <c r="B85" s="505"/>
      <c r="C85" s="505"/>
      <c r="D85" s="505" t="str">
        <f>RIGHT(D86,1)</f>
        <v>F</v>
      </c>
      <c r="E85" s="58"/>
      <c r="F85" s="505"/>
      <c r="G85" s="505"/>
      <c r="H85" s="505"/>
      <c r="AU85" s="453"/>
      <c r="AV85" s="453" t="s">
        <v>591</v>
      </c>
      <c r="AW85" s="453"/>
      <c r="AX85" s="453" t="s">
        <v>592</v>
      </c>
      <c r="AY85" s="453" t="s">
        <v>45</v>
      </c>
      <c r="AZ85" s="453" t="s">
        <v>593</v>
      </c>
      <c r="BA85" s="453" t="s">
        <v>594</v>
      </c>
      <c r="BB85" s="453" t="s">
        <v>595</v>
      </c>
      <c r="BC85" s="453" t="s">
        <v>596</v>
      </c>
      <c r="BD85" s="453" t="s">
        <v>45</v>
      </c>
      <c r="BE85" s="453" t="s">
        <v>46</v>
      </c>
      <c r="BF85" s="453" t="s">
        <v>597</v>
      </c>
      <c r="BG85" s="588" t="s">
        <v>272</v>
      </c>
      <c r="BH85" s="453" t="s">
        <v>45</v>
      </c>
      <c r="BI85" s="453" t="s">
        <v>598</v>
      </c>
      <c r="BJ85" s="453" t="s">
        <v>47</v>
      </c>
      <c r="BK85" s="453" t="s">
        <v>599</v>
      </c>
      <c r="BL85" s="453" t="s">
        <v>45</v>
      </c>
    </row>
    <row r="86" spans="1:64" ht="12.75" hidden="1" customHeight="1">
      <c r="A86" s="58" t="s">
        <v>445</v>
      </c>
      <c r="B86" s="505"/>
      <c r="C86" s="505"/>
      <c r="D86" s="505" t="str">
        <f>luna!$A$74</f>
        <v>GF</v>
      </c>
      <c r="E86" s="505">
        <f>CODE(D86)</f>
        <v>71</v>
      </c>
      <c r="F86" s="58" t="str">
        <f>IF(LEN(D86)=2,"AÑO BISIESTO","AÑO NO BISIESTO")</f>
        <v>AÑO BISIESTO</v>
      </c>
      <c r="G86" s="505"/>
      <c r="H86" s="505"/>
      <c r="AU86" s="453" t="s">
        <v>33</v>
      </c>
      <c r="AV86" s="453" t="s">
        <v>600</v>
      </c>
      <c r="AW86" s="453" t="s">
        <v>488</v>
      </c>
      <c r="AX86" s="453" t="s">
        <v>582</v>
      </c>
      <c r="AY86" s="453" t="s">
        <v>601</v>
      </c>
      <c r="AZ86" s="453" t="s">
        <v>40</v>
      </c>
      <c r="BA86" s="453" t="s">
        <v>38</v>
      </c>
      <c r="BB86" s="453" t="s">
        <v>602</v>
      </c>
      <c r="BC86" s="453" t="s">
        <v>602</v>
      </c>
      <c r="BD86" s="453" t="s">
        <v>34</v>
      </c>
      <c r="BE86" s="453" t="s">
        <v>34</v>
      </c>
      <c r="BF86" s="453" t="s">
        <v>603</v>
      </c>
      <c r="BG86" s="453"/>
      <c r="BH86" s="588" t="s">
        <v>557</v>
      </c>
      <c r="BI86" s="453" t="s">
        <v>572</v>
      </c>
      <c r="BJ86" s="453" t="s">
        <v>604</v>
      </c>
      <c r="BK86" s="453" t="s">
        <v>605</v>
      </c>
      <c r="BL86" s="453" t="s">
        <v>606</v>
      </c>
    </row>
    <row r="87" spans="1:64" ht="12.75" hidden="1" customHeight="1">
      <c r="A87" s="505"/>
      <c r="B87" s="505"/>
      <c r="C87" s="505"/>
      <c r="D87" s="505" t="str">
        <f>LEFT(D86,1)</f>
        <v>G</v>
      </c>
      <c r="E87" s="58"/>
      <c r="F87" s="505"/>
      <c r="G87" s="505"/>
      <c r="H87" s="505"/>
      <c r="AO87" s="419"/>
      <c r="AU87" s="455">
        <f>luna!$A$62</f>
        <v>2024</v>
      </c>
      <c r="AV87" s="455">
        <f>luna!$A$64</f>
        <v>11</v>
      </c>
      <c r="AW87" s="453">
        <f>IF(AU87&gt;1581,luna!$A$69,luna!$A$83)</f>
        <v>19</v>
      </c>
      <c r="AX87" s="453" t="str">
        <f>luna!$A$74</f>
        <v>GF</v>
      </c>
      <c r="AY87" s="454">
        <f>BA87-21</f>
        <v>45319</v>
      </c>
      <c r="AZ87" s="454">
        <f>$C$53</f>
        <v>45336</v>
      </c>
      <c r="BA87" s="454">
        <f>AZ87+4</f>
        <v>45340</v>
      </c>
      <c r="BB87" s="454">
        <f>BC87-1</f>
        <v>45013</v>
      </c>
      <c r="BC87" s="454">
        <f>BD87-2</f>
        <v>45014</v>
      </c>
      <c r="BD87" s="454">
        <f>luna!$A$106</f>
        <v>45016</v>
      </c>
      <c r="BE87" s="454">
        <f>BD87+1</f>
        <v>45017</v>
      </c>
      <c r="BF87" s="454">
        <f>BE87+7</f>
        <v>45024</v>
      </c>
      <c r="BG87" s="454">
        <f>$R$62</f>
        <v>45424</v>
      </c>
      <c r="BH87" s="454">
        <f>BD87+49</f>
        <v>45065</v>
      </c>
      <c r="BI87" s="454">
        <f>BH87+7</f>
        <v>45072</v>
      </c>
      <c r="BJ87" s="454">
        <f>BG87+21</f>
        <v>45445</v>
      </c>
      <c r="BK87" s="454">
        <f>BJ87+7</f>
        <v>45452</v>
      </c>
      <c r="BL87" s="454" t="str">
        <f>$AE$71</f>
        <v>1-des</v>
      </c>
    </row>
    <row r="88" spans="1:64" ht="12.75" hidden="1" customHeight="1">
      <c r="A88" s="58" t="s">
        <v>505</v>
      </c>
      <c r="B88" s="505"/>
      <c r="C88" s="505"/>
      <c r="D88" s="505"/>
      <c r="E88" s="505"/>
      <c r="F88" s="505"/>
      <c r="G88" s="505"/>
      <c r="H88" s="505"/>
      <c r="AO88" s="225"/>
    </row>
    <row r="89" spans="1:64" ht="12.75" hidden="1" customHeight="1" thickBot="1">
      <c r="A89" s="505"/>
      <c r="B89" s="505"/>
      <c r="C89" s="505">
        <v>1</v>
      </c>
      <c r="D89" s="505"/>
      <c r="E89" s="505">
        <v>2</v>
      </c>
      <c r="F89" s="505"/>
      <c r="G89" s="505">
        <v>3</v>
      </c>
      <c r="H89" s="505"/>
      <c r="I89" s="505">
        <v>4</v>
      </c>
      <c r="J89" s="505"/>
      <c r="K89" s="505">
        <v>5</v>
      </c>
      <c r="L89" s="505"/>
      <c r="M89" s="505">
        <v>6</v>
      </c>
      <c r="N89" s="505"/>
      <c r="O89" s="505">
        <v>7</v>
      </c>
      <c r="P89" s="505"/>
      <c r="Q89" s="505">
        <v>8</v>
      </c>
      <c r="R89" s="505"/>
      <c r="S89" s="505">
        <v>9</v>
      </c>
      <c r="T89" s="505"/>
      <c r="U89" s="505">
        <v>10</v>
      </c>
      <c r="V89" s="505"/>
      <c r="W89" s="505">
        <v>11</v>
      </c>
      <c r="X89" s="505"/>
      <c r="Y89" s="39">
        <v>12</v>
      </c>
      <c r="Z89" s="506"/>
      <c r="AA89" s="506" t="s">
        <v>521</v>
      </c>
      <c r="AB89" s="506" t="s">
        <v>522</v>
      </c>
      <c r="AC89" s="506" t="s">
        <v>292</v>
      </c>
      <c r="AD89" s="506" t="s">
        <v>294</v>
      </c>
      <c r="AE89" s="506" t="s">
        <v>296</v>
      </c>
      <c r="AF89" s="506" t="s">
        <v>298</v>
      </c>
      <c r="AG89" s="506" t="s">
        <v>300</v>
      </c>
      <c r="AH89" s="506" t="s">
        <v>302</v>
      </c>
      <c r="AI89" s="506" t="s">
        <v>304</v>
      </c>
      <c r="AJ89" s="506" t="s">
        <v>306</v>
      </c>
      <c r="AK89" s="506" t="s">
        <v>308</v>
      </c>
      <c r="AL89" s="506" t="s">
        <v>310</v>
      </c>
      <c r="AN89" s="43"/>
      <c r="AO89" s="629"/>
      <c r="AP89" s="629"/>
      <c r="AQ89" s="631" t="str">
        <f>IF($AO$87&gt;1899,WEEKDAY($AO89),"")</f>
        <v/>
      </c>
      <c r="AR89" s="632"/>
      <c r="AS89" s="506" t="s">
        <v>579</v>
      </c>
      <c r="AT89" s="506" t="s">
        <v>580</v>
      </c>
      <c r="AU89" s="419">
        <f>V4</f>
        <v>2024</v>
      </c>
      <c r="AV89" s="502" t="str">
        <f>LEFT($AT21,3)</f>
        <v>Ene</v>
      </c>
      <c r="AW89" s="629">
        <f>IF($AM$48=1,$AE$15,"01/01 ")</f>
        <v>45292</v>
      </c>
      <c r="AX89" s="629"/>
      <c r="AY89" s="631">
        <f>IF($AU$89&gt;1899,WEEKDAY(AW89),"")</f>
        <v>2</v>
      </c>
      <c r="AZ89" s="632"/>
      <c r="BA89" s="505"/>
    </row>
    <row r="90" spans="1:64" ht="12.75" hidden="1" customHeight="1" thickTop="1">
      <c r="A90" s="505"/>
      <c r="B90" s="528" t="s">
        <v>83</v>
      </c>
      <c r="C90" s="529" t="s">
        <v>255</v>
      </c>
      <c r="D90" s="529"/>
      <c r="E90" s="529" t="s">
        <v>256</v>
      </c>
      <c r="F90" s="529"/>
      <c r="G90" s="529" t="s">
        <v>257</v>
      </c>
      <c r="H90" s="529"/>
      <c r="I90" s="529" t="s">
        <v>232</v>
      </c>
      <c r="J90" s="420"/>
      <c r="K90" s="420" t="s">
        <v>258</v>
      </c>
      <c r="L90" s="420"/>
      <c r="M90" s="420" t="s">
        <v>259</v>
      </c>
      <c r="N90" s="420"/>
      <c r="O90" s="420" t="s">
        <v>260</v>
      </c>
      <c r="P90" s="420"/>
      <c r="Q90" s="420" t="s">
        <v>261</v>
      </c>
      <c r="R90" s="420"/>
      <c r="S90" s="420" t="s">
        <v>607</v>
      </c>
      <c r="T90" s="420"/>
      <c r="U90" s="420" t="s">
        <v>608</v>
      </c>
      <c r="V90" s="420"/>
      <c r="W90" s="420" t="s">
        <v>609</v>
      </c>
      <c r="X90" s="420"/>
      <c r="Y90" s="421" t="s">
        <v>610</v>
      </c>
      <c r="Z90" s="422"/>
      <c r="AA90" s="506">
        <v>64</v>
      </c>
      <c r="AB90" s="506">
        <f>AA121</f>
        <v>67</v>
      </c>
      <c r="AC90" s="506">
        <f>AB119</f>
        <v>68</v>
      </c>
      <c r="AD90" s="506">
        <f>AC121</f>
        <v>71</v>
      </c>
      <c r="AE90" s="506">
        <f>AD120</f>
        <v>66</v>
      </c>
      <c r="AF90" s="506">
        <f>AE121</f>
        <v>69</v>
      </c>
      <c r="AG90" s="506">
        <f>AF120</f>
        <v>71</v>
      </c>
      <c r="AH90" s="506">
        <f>AG121</f>
        <v>67</v>
      </c>
      <c r="AI90" s="506">
        <f>AH121</f>
        <v>70</v>
      </c>
      <c r="AJ90" s="506">
        <f>AI120</f>
        <v>65</v>
      </c>
      <c r="AK90" s="506">
        <f>AJ121</f>
        <v>68</v>
      </c>
      <c r="AL90" s="506">
        <f>AK120</f>
        <v>70</v>
      </c>
      <c r="AM90" s="506"/>
      <c r="AN90" s="502"/>
      <c r="AO90" s="503"/>
      <c r="AP90" s="503"/>
      <c r="AQ90" s="507" t="str">
        <f t="shared" ref="AQ90:AQ100" si="42">IF($AO$87&gt;1899,WEEKDAY($AO90),"")</f>
        <v/>
      </c>
      <c r="AR90" s="508"/>
      <c r="AS90" s="506" t="s">
        <v>581</v>
      </c>
      <c r="AT90" s="510" t="s">
        <v>582</v>
      </c>
      <c r="AU90" s="510" t="s">
        <v>210</v>
      </c>
      <c r="AV90" s="502" t="str">
        <f t="shared" ref="AV90:AV100" si="43">LEFT($AT22,3)</f>
        <v>Feb</v>
      </c>
      <c r="AW90" s="629">
        <f>IF($AM$48=1,AW89+31,"01/02 ")</f>
        <v>45323</v>
      </c>
      <c r="AX90" s="629"/>
      <c r="AY90" s="631">
        <f t="shared" ref="AY90:AY100" si="44">IF($AU$89&gt;1899,WEEKDAY(AW90),"")</f>
        <v>5</v>
      </c>
      <c r="AZ90" s="632"/>
      <c r="BA90" s="505"/>
    </row>
    <row r="91" spans="1:64" ht="12.75" hidden="1" customHeight="1">
      <c r="A91" s="505">
        <f>IF(MOD(B91,7)&lt;&gt;0,MOD(B91,7),7)</f>
        <v>1</v>
      </c>
      <c r="B91" s="423">
        <v>1</v>
      </c>
      <c r="C91" s="424" t="s">
        <v>611</v>
      </c>
      <c r="D91" s="424" t="str">
        <f>CHAR(AA91)</f>
        <v>A</v>
      </c>
      <c r="E91" s="424">
        <v>29</v>
      </c>
      <c r="F91" s="424" t="str">
        <f>CHAR(AB91)</f>
        <v>D</v>
      </c>
      <c r="G91" s="424" t="s">
        <v>611</v>
      </c>
      <c r="H91" s="424" t="str">
        <f>CHAR(AC91)</f>
        <v>E</v>
      </c>
      <c r="I91" s="424">
        <v>29</v>
      </c>
      <c r="J91" s="424" t="str">
        <f>CHAR(AD91)</f>
        <v>A</v>
      </c>
      <c r="K91" s="424">
        <v>28</v>
      </c>
      <c r="L91" s="424" t="str">
        <f>CHAR(AE91)</f>
        <v>C</v>
      </c>
      <c r="M91" s="424">
        <v>27</v>
      </c>
      <c r="N91" s="424" t="str">
        <f>CHAR(AF91)</f>
        <v>F</v>
      </c>
      <c r="O91" s="424">
        <v>26</v>
      </c>
      <c r="P91" s="424" t="str">
        <f>CHAR(AG91)</f>
        <v>A</v>
      </c>
      <c r="Q91" s="424" t="s">
        <v>612</v>
      </c>
      <c r="R91" s="424" t="str">
        <f>CHAR(AH91)</f>
        <v>D</v>
      </c>
      <c r="S91" s="424">
        <v>23</v>
      </c>
      <c r="T91" s="424" t="str">
        <f>CHAR(AI91)</f>
        <v>G</v>
      </c>
      <c r="U91" s="424">
        <v>22</v>
      </c>
      <c r="V91" s="424" t="str">
        <f>CHAR(AJ91)</f>
        <v>B</v>
      </c>
      <c r="W91" s="424">
        <v>21</v>
      </c>
      <c r="X91" s="424" t="str">
        <f>CHAR(AK91)</f>
        <v>E</v>
      </c>
      <c r="Y91" s="424">
        <v>20</v>
      </c>
      <c r="Z91" s="425" t="str">
        <f>CHAR(AL91)</f>
        <v>G</v>
      </c>
      <c r="AA91" s="506">
        <f t="shared" ref="AA91:AL91" si="45">IF(AA90=71,AA90+1-7,AA90+1)</f>
        <v>65</v>
      </c>
      <c r="AB91" s="506">
        <f t="shared" si="45"/>
        <v>68</v>
      </c>
      <c r="AC91" s="506">
        <f t="shared" si="45"/>
        <v>69</v>
      </c>
      <c r="AD91" s="506">
        <f t="shared" si="45"/>
        <v>65</v>
      </c>
      <c r="AE91" s="506">
        <f t="shared" si="45"/>
        <v>67</v>
      </c>
      <c r="AF91" s="506">
        <f t="shared" si="45"/>
        <v>70</v>
      </c>
      <c r="AG91" s="506">
        <f t="shared" si="45"/>
        <v>65</v>
      </c>
      <c r="AH91" s="506">
        <f t="shared" si="45"/>
        <v>68</v>
      </c>
      <c r="AI91" s="506">
        <f t="shared" si="45"/>
        <v>71</v>
      </c>
      <c r="AJ91" s="506">
        <f t="shared" si="45"/>
        <v>66</v>
      </c>
      <c r="AK91" s="506">
        <f t="shared" si="45"/>
        <v>69</v>
      </c>
      <c r="AL91" s="506">
        <f t="shared" si="45"/>
        <v>71</v>
      </c>
      <c r="AM91" s="506"/>
      <c r="AN91" s="502"/>
      <c r="AO91" s="503"/>
      <c r="AP91" s="503"/>
      <c r="AQ91" s="507" t="str">
        <f t="shared" si="42"/>
        <v/>
      </c>
      <c r="AR91" s="508"/>
      <c r="AS91" s="506">
        <v>1</v>
      </c>
      <c r="AT91" s="506" t="s">
        <v>499</v>
      </c>
      <c r="AU91" s="509"/>
      <c r="AV91" s="502" t="str">
        <f t="shared" si="43"/>
        <v>Mar</v>
      </c>
      <c r="AW91" s="629">
        <f>IF($AM$48=1,$AH$9,"01/03")</f>
        <v>45352</v>
      </c>
      <c r="AX91" s="629"/>
      <c r="AY91" s="631">
        <f t="shared" si="44"/>
        <v>6</v>
      </c>
      <c r="AZ91" s="632"/>
      <c r="BA91" s="505"/>
    </row>
    <row r="92" spans="1:64" ht="12.75" hidden="1" customHeight="1">
      <c r="A92" s="505">
        <f t="shared" ref="A92:A121" si="46">IF(MOD(B92,7)&lt;&gt;0,MOD(B92,7),7)</f>
        <v>2</v>
      </c>
      <c r="B92" s="423">
        <v>2</v>
      </c>
      <c r="C92" s="424">
        <v>29</v>
      </c>
      <c r="D92" s="424" t="str">
        <f t="shared" ref="D92:D121" si="47">CHAR(AA92)</f>
        <v>B</v>
      </c>
      <c r="E92" s="424">
        <v>28</v>
      </c>
      <c r="F92" s="424" t="str">
        <f t="shared" ref="F92:F119" si="48">CHAR(AB92)</f>
        <v>E</v>
      </c>
      <c r="G92" s="424">
        <v>29</v>
      </c>
      <c r="H92" s="424" t="str">
        <f t="shared" ref="H92:H121" si="49">CHAR(AC92)</f>
        <v>F</v>
      </c>
      <c r="I92" s="424">
        <v>28</v>
      </c>
      <c r="J92" s="424" t="str">
        <f t="shared" ref="J92:J120" si="50">CHAR(AD92)</f>
        <v>B</v>
      </c>
      <c r="K92" s="424">
        <v>27</v>
      </c>
      <c r="L92" s="424" t="str">
        <f t="shared" ref="L92:L121" si="51">CHAR(AE92)</f>
        <v>D</v>
      </c>
      <c r="M92" s="424" t="s">
        <v>612</v>
      </c>
      <c r="N92" s="424" t="str">
        <f t="shared" ref="N92:N120" si="52">CHAR(AF92)</f>
        <v>G</v>
      </c>
      <c r="O92" s="424" t="s">
        <v>612</v>
      </c>
      <c r="P92" s="424" t="str">
        <f t="shared" ref="P92:P121" si="53">CHAR(AG92)</f>
        <v>B</v>
      </c>
      <c r="Q92" s="424">
        <v>23</v>
      </c>
      <c r="R92" s="424" t="str">
        <f t="shared" ref="R92:R121" si="54">CHAR(AH92)</f>
        <v>E</v>
      </c>
      <c r="S92" s="424">
        <v>22</v>
      </c>
      <c r="T92" s="424" t="str">
        <f t="shared" ref="T92:T120" si="55">CHAR(AI92)</f>
        <v>A</v>
      </c>
      <c r="U92" s="424">
        <v>21</v>
      </c>
      <c r="V92" s="424" t="str">
        <f t="shared" ref="V92:V121" si="56">CHAR(AJ92)</f>
        <v>C</v>
      </c>
      <c r="W92" s="424">
        <v>20</v>
      </c>
      <c r="X92" s="424" t="str">
        <f t="shared" ref="X92:X120" si="57">CHAR(AK92)</f>
        <v>F</v>
      </c>
      <c r="Y92" s="424">
        <v>19</v>
      </c>
      <c r="Z92" s="425" t="str">
        <f t="shared" ref="Z92:Z121" si="58">CHAR(AL92)</f>
        <v>A</v>
      </c>
      <c r="AA92" s="506">
        <f t="shared" ref="AA92:AL113" si="59">IF(AA91=71,AA91+1-7,AA91+1)</f>
        <v>66</v>
      </c>
      <c r="AB92" s="506">
        <f t="shared" si="59"/>
        <v>69</v>
      </c>
      <c r="AC92" s="506">
        <f t="shared" si="59"/>
        <v>70</v>
      </c>
      <c r="AD92" s="506">
        <f t="shared" si="59"/>
        <v>66</v>
      </c>
      <c r="AE92" s="506">
        <f t="shared" si="59"/>
        <v>68</v>
      </c>
      <c r="AF92" s="506">
        <f t="shared" si="59"/>
        <v>71</v>
      </c>
      <c r="AG92" s="506">
        <f t="shared" si="59"/>
        <v>66</v>
      </c>
      <c r="AH92" s="506">
        <f t="shared" si="59"/>
        <v>69</v>
      </c>
      <c r="AI92" s="506">
        <f t="shared" si="59"/>
        <v>65</v>
      </c>
      <c r="AJ92" s="506">
        <f t="shared" si="59"/>
        <v>67</v>
      </c>
      <c r="AK92" s="506">
        <f t="shared" si="59"/>
        <v>70</v>
      </c>
      <c r="AL92" s="506">
        <f t="shared" si="59"/>
        <v>65</v>
      </c>
      <c r="AM92" s="506"/>
      <c r="AN92" s="502"/>
      <c r="AO92" s="503"/>
      <c r="AP92" s="503"/>
      <c r="AQ92" s="507" t="str">
        <f t="shared" si="42"/>
        <v/>
      </c>
      <c r="AR92" s="508"/>
      <c r="AS92" s="506">
        <v>2</v>
      </c>
      <c r="AT92" s="506" t="s">
        <v>417</v>
      </c>
      <c r="AU92" s="509"/>
      <c r="AV92" s="502" t="str">
        <f t="shared" si="43"/>
        <v>Abr</v>
      </c>
      <c r="AW92" s="629">
        <f>IF($AM$48=1,AW91+31,"01/04 ")</f>
        <v>45383</v>
      </c>
      <c r="AX92" s="629"/>
      <c r="AY92" s="631">
        <f t="shared" si="44"/>
        <v>2</v>
      </c>
      <c r="AZ92" s="632"/>
      <c r="BA92" s="505"/>
    </row>
    <row r="93" spans="1:64" ht="12.75" hidden="1" customHeight="1">
      <c r="A93" s="505">
        <f t="shared" si="46"/>
        <v>3</v>
      </c>
      <c r="B93" s="423">
        <v>3</v>
      </c>
      <c r="C93" s="424">
        <v>28</v>
      </c>
      <c r="D93" s="424" t="str">
        <f t="shared" si="47"/>
        <v>C</v>
      </c>
      <c r="E93" s="424">
        <v>27</v>
      </c>
      <c r="F93" s="424" t="str">
        <f t="shared" si="48"/>
        <v>F</v>
      </c>
      <c r="G93" s="424">
        <v>28</v>
      </c>
      <c r="H93" s="424" t="str">
        <f t="shared" si="49"/>
        <v>G</v>
      </c>
      <c r="I93" s="424">
        <v>27</v>
      </c>
      <c r="J93" s="424" t="str">
        <f t="shared" si="50"/>
        <v>C</v>
      </c>
      <c r="K93" s="424">
        <v>26</v>
      </c>
      <c r="L93" s="424" t="str">
        <f t="shared" si="51"/>
        <v>E</v>
      </c>
      <c r="M93" s="424" t="s">
        <v>613</v>
      </c>
      <c r="N93" s="424" t="str">
        <f t="shared" si="52"/>
        <v>A</v>
      </c>
      <c r="O93" s="424">
        <v>24</v>
      </c>
      <c r="P93" s="424" t="str">
        <f t="shared" si="53"/>
        <v>C</v>
      </c>
      <c r="Q93" s="424">
        <v>22</v>
      </c>
      <c r="R93" s="424" t="str">
        <f t="shared" si="54"/>
        <v>F</v>
      </c>
      <c r="S93" s="424">
        <v>21</v>
      </c>
      <c r="T93" s="424" t="str">
        <f t="shared" si="55"/>
        <v>B</v>
      </c>
      <c r="U93" s="424">
        <v>20</v>
      </c>
      <c r="V93" s="424" t="str">
        <f t="shared" si="56"/>
        <v>D</v>
      </c>
      <c r="W93" s="424">
        <v>19</v>
      </c>
      <c r="X93" s="424" t="str">
        <f t="shared" si="57"/>
        <v>G</v>
      </c>
      <c r="Y93" s="424">
        <v>18</v>
      </c>
      <c r="Z93" s="425" t="str">
        <f t="shared" si="58"/>
        <v>B</v>
      </c>
      <c r="AA93" s="506">
        <f t="shared" si="59"/>
        <v>67</v>
      </c>
      <c r="AB93" s="506">
        <f t="shared" si="59"/>
        <v>70</v>
      </c>
      <c r="AC93" s="506">
        <f t="shared" si="59"/>
        <v>71</v>
      </c>
      <c r="AD93" s="506">
        <f t="shared" si="59"/>
        <v>67</v>
      </c>
      <c r="AE93" s="506">
        <f t="shared" si="59"/>
        <v>69</v>
      </c>
      <c r="AF93" s="506">
        <f t="shared" si="59"/>
        <v>65</v>
      </c>
      <c r="AG93" s="506">
        <f t="shared" si="59"/>
        <v>67</v>
      </c>
      <c r="AH93" s="506">
        <f t="shared" si="59"/>
        <v>70</v>
      </c>
      <c r="AI93" s="506">
        <f t="shared" si="59"/>
        <v>66</v>
      </c>
      <c r="AJ93" s="506">
        <f t="shared" si="59"/>
        <v>68</v>
      </c>
      <c r="AK93" s="506">
        <f t="shared" si="59"/>
        <v>71</v>
      </c>
      <c r="AL93" s="506">
        <f t="shared" si="59"/>
        <v>66</v>
      </c>
      <c r="AM93" s="506"/>
      <c r="AN93" s="502"/>
      <c r="AO93" s="503"/>
      <c r="AP93" s="527"/>
      <c r="AQ93" s="507" t="str">
        <f t="shared" si="42"/>
        <v/>
      </c>
      <c r="AR93" s="508"/>
      <c r="AS93" s="506">
        <v>3</v>
      </c>
      <c r="AT93" s="506" t="s">
        <v>230</v>
      </c>
      <c r="AU93" s="509"/>
      <c r="AV93" s="502" t="str">
        <f t="shared" si="43"/>
        <v>May</v>
      </c>
      <c r="AW93" s="629">
        <f>IF($AM$48=1,AW92+30,"01/05 ")</f>
        <v>45413</v>
      </c>
      <c r="AX93" s="630"/>
      <c r="AY93" s="631">
        <f t="shared" si="44"/>
        <v>4</v>
      </c>
      <c r="AZ93" s="632"/>
      <c r="BA93" s="505"/>
    </row>
    <row r="94" spans="1:64" ht="12.75" hidden="1" customHeight="1">
      <c r="A94" s="505">
        <f t="shared" si="46"/>
        <v>4</v>
      </c>
      <c r="B94" s="423">
        <v>4</v>
      </c>
      <c r="C94" s="424">
        <v>27</v>
      </c>
      <c r="D94" s="424" t="str">
        <f t="shared" si="47"/>
        <v>D</v>
      </c>
      <c r="E94" s="424" t="s">
        <v>614</v>
      </c>
      <c r="F94" s="424" t="str">
        <f t="shared" si="48"/>
        <v>G</v>
      </c>
      <c r="G94" s="424">
        <v>27</v>
      </c>
      <c r="H94" s="424" t="str">
        <f t="shared" si="49"/>
        <v>A</v>
      </c>
      <c r="I94" s="424" t="s">
        <v>614</v>
      </c>
      <c r="J94" s="424" t="str">
        <f t="shared" si="50"/>
        <v>D</v>
      </c>
      <c r="K94" s="424">
        <v>25</v>
      </c>
      <c r="L94" s="424" t="str">
        <f t="shared" si="51"/>
        <v>F</v>
      </c>
      <c r="M94" s="424">
        <v>23</v>
      </c>
      <c r="N94" s="424" t="str">
        <f t="shared" si="52"/>
        <v>B</v>
      </c>
      <c r="O94" s="424">
        <v>23</v>
      </c>
      <c r="P94" s="424" t="str">
        <f t="shared" si="53"/>
        <v>D</v>
      </c>
      <c r="Q94" s="424">
        <v>21</v>
      </c>
      <c r="R94" s="424" t="str">
        <f t="shared" si="54"/>
        <v>G</v>
      </c>
      <c r="S94" s="424">
        <v>20</v>
      </c>
      <c r="T94" s="424" t="str">
        <f t="shared" si="55"/>
        <v>C</v>
      </c>
      <c r="U94" s="424">
        <v>19</v>
      </c>
      <c r="V94" s="424" t="str">
        <f t="shared" si="56"/>
        <v>E</v>
      </c>
      <c r="W94" s="424">
        <v>18</v>
      </c>
      <c r="X94" s="424" t="str">
        <f t="shared" si="57"/>
        <v>A</v>
      </c>
      <c r="Y94" s="424">
        <v>17</v>
      </c>
      <c r="Z94" s="425" t="str">
        <f t="shared" si="58"/>
        <v>C</v>
      </c>
      <c r="AA94" s="506">
        <f t="shared" si="59"/>
        <v>68</v>
      </c>
      <c r="AB94" s="506">
        <f t="shared" si="59"/>
        <v>71</v>
      </c>
      <c r="AC94" s="506">
        <f t="shared" si="59"/>
        <v>65</v>
      </c>
      <c r="AD94" s="506">
        <f t="shared" si="59"/>
        <v>68</v>
      </c>
      <c r="AE94" s="506">
        <f t="shared" si="59"/>
        <v>70</v>
      </c>
      <c r="AF94" s="506">
        <f t="shared" si="59"/>
        <v>66</v>
      </c>
      <c r="AG94" s="506">
        <f t="shared" si="59"/>
        <v>68</v>
      </c>
      <c r="AH94" s="506">
        <f t="shared" si="59"/>
        <v>71</v>
      </c>
      <c r="AI94" s="506">
        <f t="shared" si="59"/>
        <v>67</v>
      </c>
      <c r="AJ94" s="506">
        <f t="shared" si="59"/>
        <v>69</v>
      </c>
      <c r="AK94" s="506">
        <f t="shared" si="59"/>
        <v>65</v>
      </c>
      <c r="AL94" s="506">
        <f t="shared" si="59"/>
        <v>67</v>
      </c>
      <c r="AM94" s="506"/>
      <c r="AN94" s="502"/>
      <c r="AO94" s="503"/>
      <c r="AP94" s="527"/>
      <c r="AQ94" s="507" t="str">
        <f t="shared" si="42"/>
        <v/>
      </c>
      <c r="AR94" s="508"/>
      <c r="AS94" s="506">
        <v>4</v>
      </c>
      <c r="AT94" s="506" t="s">
        <v>416</v>
      </c>
      <c r="AU94" s="509"/>
      <c r="AV94" s="502" t="str">
        <f t="shared" si="43"/>
        <v>Jun</v>
      </c>
      <c r="AW94" s="629">
        <f>IF($AM$48=1,AW93+31,"01/06 ")</f>
        <v>45444</v>
      </c>
      <c r="AX94" s="630"/>
      <c r="AY94" s="631">
        <f t="shared" si="44"/>
        <v>7</v>
      </c>
      <c r="AZ94" s="632"/>
      <c r="BA94" s="505"/>
    </row>
    <row r="95" spans="1:64" ht="12.75" hidden="1" customHeight="1">
      <c r="A95" s="505">
        <f t="shared" si="46"/>
        <v>5</v>
      </c>
      <c r="B95" s="423">
        <v>5</v>
      </c>
      <c r="C95" s="424">
        <v>26</v>
      </c>
      <c r="D95" s="424" t="str">
        <f t="shared" si="47"/>
        <v>E</v>
      </c>
      <c r="E95" s="424" t="s">
        <v>612</v>
      </c>
      <c r="F95" s="424" t="str">
        <f t="shared" si="48"/>
        <v>A</v>
      </c>
      <c r="G95" s="424">
        <v>26</v>
      </c>
      <c r="H95" s="424" t="str">
        <f t="shared" si="49"/>
        <v>B</v>
      </c>
      <c r="I95" s="424" t="s">
        <v>612</v>
      </c>
      <c r="J95" s="424" t="str">
        <f t="shared" si="50"/>
        <v>E</v>
      </c>
      <c r="K95" s="424">
        <v>24</v>
      </c>
      <c r="L95" s="424" t="str">
        <f t="shared" si="51"/>
        <v>G</v>
      </c>
      <c r="M95" s="424">
        <v>22</v>
      </c>
      <c r="N95" s="424" t="str">
        <f t="shared" si="52"/>
        <v>C</v>
      </c>
      <c r="O95" s="424">
        <v>22</v>
      </c>
      <c r="P95" s="424" t="str">
        <f t="shared" si="53"/>
        <v>E</v>
      </c>
      <c r="Q95" s="424">
        <v>20</v>
      </c>
      <c r="R95" s="424" t="str">
        <f t="shared" si="54"/>
        <v>A</v>
      </c>
      <c r="S95" s="424">
        <v>19</v>
      </c>
      <c r="T95" s="424" t="str">
        <f t="shared" si="55"/>
        <v>D</v>
      </c>
      <c r="U95" s="424">
        <v>18</v>
      </c>
      <c r="V95" s="424" t="str">
        <f t="shared" si="56"/>
        <v>F</v>
      </c>
      <c r="W95" s="424">
        <v>17</v>
      </c>
      <c r="X95" s="424" t="str">
        <f t="shared" si="57"/>
        <v>B</v>
      </c>
      <c r="Y95" s="424">
        <v>16</v>
      </c>
      <c r="Z95" s="425" t="str">
        <f t="shared" si="58"/>
        <v>D</v>
      </c>
      <c r="AA95" s="506">
        <f t="shared" si="59"/>
        <v>69</v>
      </c>
      <c r="AB95" s="506">
        <f t="shared" si="59"/>
        <v>65</v>
      </c>
      <c r="AC95" s="506">
        <f t="shared" si="59"/>
        <v>66</v>
      </c>
      <c r="AD95" s="506">
        <f t="shared" si="59"/>
        <v>69</v>
      </c>
      <c r="AE95" s="506">
        <f t="shared" si="59"/>
        <v>71</v>
      </c>
      <c r="AF95" s="506">
        <f t="shared" si="59"/>
        <v>67</v>
      </c>
      <c r="AG95" s="506">
        <f t="shared" si="59"/>
        <v>69</v>
      </c>
      <c r="AH95" s="506">
        <f t="shared" si="59"/>
        <v>65</v>
      </c>
      <c r="AI95" s="506">
        <f t="shared" si="59"/>
        <v>68</v>
      </c>
      <c r="AJ95" s="506">
        <f t="shared" si="59"/>
        <v>70</v>
      </c>
      <c r="AK95" s="506">
        <f t="shared" si="59"/>
        <v>66</v>
      </c>
      <c r="AL95" s="506">
        <f t="shared" si="59"/>
        <v>68</v>
      </c>
      <c r="AM95" s="506"/>
      <c r="AN95" s="502"/>
      <c r="AO95" s="503"/>
      <c r="AP95" s="527"/>
      <c r="AQ95" s="507" t="str">
        <f t="shared" si="42"/>
        <v/>
      </c>
      <c r="AR95" s="508"/>
      <c r="AS95" s="506">
        <v>5</v>
      </c>
      <c r="AT95" s="506" t="s">
        <v>494</v>
      </c>
      <c r="AU95" s="509"/>
      <c r="AV95" s="502" t="str">
        <f t="shared" si="43"/>
        <v>Jul</v>
      </c>
      <c r="AW95" s="629">
        <f>IF($AM$48=1,AW94+30,"01/07 ")</f>
        <v>45474</v>
      </c>
      <c r="AX95" s="630"/>
      <c r="AY95" s="631">
        <f t="shared" si="44"/>
        <v>2</v>
      </c>
      <c r="AZ95" s="632"/>
      <c r="BA95" s="505"/>
    </row>
    <row r="96" spans="1:64" ht="12.75" hidden="1" customHeight="1">
      <c r="A96" s="505">
        <f t="shared" si="46"/>
        <v>6</v>
      </c>
      <c r="B96" s="423">
        <v>6</v>
      </c>
      <c r="C96" s="424">
        <v>25</v>
      </c>
      <c r="D96" s="424" t="str">
        <f t="shared" si="47"/>
        <v>F</v>
      </c>
      <c r="E96" s="424">
        <v>23</v>
      </c>
      <c r="F96" s="424" t="str">
        <f t="shared" si="48"/>
        <v>B</v>
      </c>
      <c r="G96" s="424">
        <v>25</v>
      </c>
      <c r="H96" s="424" t="str">
        <f t="shared" si="49"/>
        <v>C</v>
      </c>
      <c r="I96" s="424">
        <v>23</v>
      </c>
      <c r="J96" s="424" t="str">
        <f t="shared" si="50"/>
        <v>F</v>
      </c>
      <c r="K96" s="424">
        <v>23</v>
      </c>
      <c r="L96" s="424" t="str">
        <f t="shared" si="51"/>
        <v>A</v>
      </c>
      <c r="M96" s="424">
        <v>21</v>
      </c>
      <c r="N96" s="424" t="str">
        <f t="shared" si="52"/>
        <v>D</v>
      </c>
      <c r="O96" s="424">
        <v>21</v>
      </c>
      <c r="P96" s="424" t="str">
        <f t="shared" si="53"/>
        <v>F</v>
      </c>
      <c r="Q96" s="424">
        <v>19</v>
      </c>
      <c r="R96" s="424" t="str">
        <f t="shared" si="54"/>
        <v>B</v>
      </c>
      <c r="S96" s="424">
        <v>18</v>
      </c>
      <c r="T96" s="424" t="str">
        <f t="shared" si="55"/>
        <v>E</v>
      </c>
      <c r="U96" s="424">
        <v>17</v>
      </c>
      <c r="V96" s="424" t="str">
        <f t="shared" si="56"/>
        <v>G</v>
      </c>
      <c r="W96" s="424">
        <v>16</v>
      </c>
      <c r="X96" s="424" t="str">
        <f t="shared" si="57"/>
        <v>C</v>
      </c>
      <c r="Y96" s="424">
        <v>15</v>
      </c>
      <c r="Z96" s="425" t="str">
        <f t="shared" si="58"/>
        <v>E</v>
      </c>
      <c r="AA96" s="506">
        <f t="shared" si="59"/>
        <v>70</v>
      </c>
      <c r="AB96" s="506">
        <f t="shared" si="59"/>
        <v>66</v>
      </c>
      <c r="AC96" s="506">
        <f t="shared" si="59"/>
        <v>67</v>
      </c>
      <c r="AD96" s="506">
        <f t="shared" si="59"/>
        <v>70</v>
      </c>
      <c r="AE96" s="506">
        <f t="shared" si="59"/>
        <v>65</v>
      </c>
      <c r="AF96" s="506">
        <f t="shared" si="59"/>
        <v>68</v>
      </c>
      <c r="AG96" s="506">
        <f t="shared" si="59"/>
        <v>70</v>
      </c>
      <c r="AH96" s="506">
        <f t="shared" si="59"/>
        <v>66</v>
      </c>
      <c r="AI96" s="506">
        <f t="shared" si="59"/>
        <v>69</v>
      </c>
      <c r="AJ96" s="506">
        <f t="shared" si="59"/>
        <v>71</v>
      </c>
      <c r="AK96" s="506">
        <f t="shared" si="59"/>
        <v>67</v>
      </c>
      <c r="AL96" s="506">
        <f t="shared" si="59"/>
        <v>69</v>
      </c>
      <c r="AM96" s="506"/>
      <c r="AN96" s="502"/>
      <c r="AO96" s="503"/>
      <c r="AP96" s="527"/>
      <c r="AQ96" s="507" t="str">
        <f t="shared" si="42"/>
        <v/>
      </c>
      <c r="AR96" s="508"/>
      <c r="AS96" s="506">
        <v>6</v>
      </c>
      <c r="AT96" s="506" t="s">
        <v>586</v>
      </c>
      <c r="AU96" s="509"/>
      <c r="AV96" s="502" t="str">
        <f t="shared" si="43"/>
        <v>Ago</v>
      </c>
      <c r="AW96" s="629">
        <f>IF($AM$48=1,AW95+31,"01/08 ")</f>
        <v>45505</v>
      </c>
      <c r="AX96" s="630"/>
      <c r="AY96" s="631">
        <f t="shared" si="44"/>
        <v>5</v>
      </c>
      <c r="AZ96" s="632"/>
      <c r="BA96" s="505"/>
    </row>
    <row r="97" spans="1:53" ht="12.75" hidden="1" customHeight="1">
      <c r="A97" s="505">
        <f t="shared" si="46"/>
        <v>7</v>
      </c>
      <c r="B97" s="423">
        <v>7</v>
      </c>
      <c r="C97" s="424">
        <v>24</v>
      </c>
      <c r="D97" s="424" t="str">
        <f t="shared" si="47"/>
        <v>G</v>
      </c>
      <c r="E97" s="424">
        <v>22</v>
      </c>
      <c r="F97" s="424" t="str">
        <f t="shared" si="48"/>
        <v>C</v>
      </c>
      <c r="G97" s="424">
        <v>24</v>
      </c>
      <c r="H97" s="424" t="str">
        <f t="shared" si="49"/>
        <v>D</v>
      </c>
      <c r="I97" s="424">
        <v>22</v>
      </c>
      <c r="J97" s="424" t="str">
        <f t="shared" si="50"/>
        <v>G</v>
      </c>
      <c r="K97" s="424">
        <v>22</v>
      </c>
      <c r="L97" s="424" t="str">
        <f t="shared" si="51"/>
        <v>B</v>
      </c>
      <c r="M97" s="424">
        <v>20</v>
      </c>
      <c r="N97" s="424" t="str">
        <f t="shared" si="52"/>
        <v>E</v>
      </c>
      <c r="O97" s="424">
        <v>20</v>
      </c>
      <c r="P97" s="424" t="str">
        <f t="shared" si="53"/>
        <v>G</v>
      </c>
      <c r="Q97" s="424">
        <v>18</v>
      </c>
      <c r="R97" s="424" t="str">
        <f t="shared" si="54"/>
        <v>C</v>
      </c>
      <c r="S97" s="424">
        <v>17</v>
      </c>
      <c r="T97" s="424" t="str">
        <f t="shared" si="55"/>
        <v>F</v>
      </c>
      <c r="U97" s="424">
        <v>16</v>
      </c>
      <c r="V97" s="424" t="str">
        <f t="shared" si="56"/>
        <v>A</v>
      </c>
      <c r="W97" s="424">
        <v>15</v>
      </c>
      <c r="X97" s="424" t="str">
        <f t="shared" si="57"/>
        <v>D</v>
      </c>
      <c r="Y97" s="424">
        <v>14</v>
      </c>
      <c r="Z97" s="425" t="str">
        <f t="shared" si="58"/>
        <v>F</v>
      </c>
      <c r="AA97" s="506">
        <f t="shared" si="59"/>
        <v>71</v>
      </c>
      <c r="AB97" s="506">
        <f t="shared" si="59"/>
        <v>67</v>
      </c>
      <c r="AC97" s="506">
        <f t="shared" si="59"/>
        <v>68</v>
      </c>
      <c r="AD97" s="506">
        <f t="shared" si="59"/>
        <v>71</v>
      </c>
      <c r="AE97" s="506">
        <f t="shared" si="59"/>
        <v>66</v>
      </c>
      <c r="AF97" s="506">
        <f t="shared" si="59"/>
        <v>69</v>
      </c>
      <c r="AG97" s="506">
        <f t="shared" si="59"/>
        <v>71</v>
      </c>
      <c r="AH97" s="506">
        <f t="shared" si="59"/>
        <v>67</v>
      </c>
      <c r="AI97" s="506">
        <f t="shared" si="59"/>
        <v>70</v>
      </c>
      <c r="AJ97" s="506">
        <f t="shared" si="59"/>
        <v>65</v>
      </c>
      <c r="AK97" s="506">
        <f t="shared" si="59"/>
        <v>68</v>
      </c>
      <c r="AL97" s="506">
        <f t="shared" si="59"/>
        <v>70</v>
      </c>
      <c r="AM97" s="506"/>
      <c r="AN97" s="502"/>
      <c r="AO97" s="503"/>
      <c r="AP97" s="527"/>
      <c r="AQ97" s="507" t="str">
        <f t="shared" si="42"/>
        <v/>
      </c>
      <c r="AR97" s="508"/>
      <c r="AS97" s="506">
        <v>7</v>
      </c>
      <c r="AT97" s="506" t="s">
        <v>418</v>
      </c>
      <c r="AU97" s="509"/>
      <c r="AV97" s="502" t="str">
        <f t="shared" si="43"/>
        <v>Sep</v>
      </c>
      <c r="AW97" s="629">
        <f>IF($AM$48=1,AW96+31,"01/09 ")</f>
        <v>45536</v>
      </c>
      <c r="AX97" s="630"/>
      <c r="AY97" s="631">
        <f t="shared" si="44"/>
        <v>1</v>
      </c>
      <c r="AZ97" s="632"/>
      <c r="BA97" s="505"/>
    </row>
    <row r="98" spans="1:53" ht="12.75" hidden="1" customHeight="1">
      <c r="A98" s="505">
        <f t="shared" si="46"/>
        <v>1</v>
      </c>
      <c r="B98" s="423">
        <v>8</v>
      </c>
      <c r="C98" s="424">
        <v>23</v>
      </c>
      <c r="D98" s="424" t="str">
        <f t="shared" si="47"/>
        <v>A</v>
      </c>
      <c r="E98" s="424">
        <v>21</v>
      </c>
      <c r="F98" s="424" t="str">
        <f t="shared" si="48"/>
        <v>D</v>
      </c>
      <c r="G98" s="424">
        <v>23</v>
      </c>
      <c r="H98" s="424" t="str">
        <f t="shared" si="49"/>
        <v>E</v>
      </c>
      <c r="I98" s="424">
        <v>21</v>
      </c>
      <c r="J98" s="424" t="str">
        <f t="shared" si="50"/>
        <v>A</v>
      </c>
      <c r="K98" s="424">
        <v>21</v>
      </c>
      <c r="L98" s="424" t="str">
        <f t="shared" si="51"/>
        <v>C</v>
      </c>
      <c r="M98" s="424">
        <v>19</v>
      </c>
      <c r="N98" s="424" t="str">
        <f t="shared" si="52"/>
        <v>F</v>
      </c>
      <c r="O98" s="424">
        <v>19</v>
      </c>
      <c r="P98" s="424" t="str">
        <f t="shared" si="53"/>
        <v>A</v>
      </c>
      <c r="Q98" s="424">
        <v>17</v>
      </c>
      <c r="R98" s="424" t="str">
        <f t="shared" si="54"/>
        <v>D</v>
      </c>
      <c r="S98" s="424">
        <v>16</v>
      </c>
      <c r="T98" s="424" t="str">
        <f t="shared" si="55"/>
        <v>G</v>
      </c>
      <c r="U98" s="424">
        <v>15</v>
      </c>
      <c r="V98" s="424" t="str">
        <f t="shared" si="56"/>
        <v>B</v>
      </c>
      <c r="W98" s="424">
        <v>14</v>
      </c>
      <c r="X98" s="424" t="str">
        <f t="shared" si="57"/>
        <v>E</v>
      </c>
      <c r="Y98" s="424">
        <v>13</v>
      </c>
      <c r="Z98" s="425" t="str">
        <f t="shared" si="58"/>
        <v>G</v>
      </c>
      <c r="AA98" s="506">
        <f t="shared" si="59"/>
        <v>65</v>
      </c>
      <c r="AB98" s="506">
        <f t="shared" si="59"/>
        <v>68</v>
      </c>
      <c r="AC98" s="506">
        <f t="shared" si="59"/>
        <v>69</v>
      </c>
      <c r="AD98" s="506">
        <f t="shared" si="59"/>
        <v>65</v>
      </c>
      <c r="AE98" s="506">
        <f t="shared" si="59"/>
        <v>67</v>
      </c>
      <c r="AF98" s="506">
        <f t="shared" si="59"/>
        <v>70</v>
      </c>
      <c r="AG98" s="506">
        <f t="shared" si="59"/>
        <v>65</v>
      </c>
      <c r="AH98" s="506">
        <f t="shared" si="59"/>
        <v>68</v>
      </c>
      <c r="AI98" s="506">
        <f t="shared" si="59"/>
        <v>71</v>
      </c>
      <c r="AJ98" s="506">
        <f t="shared" si="59"/>
        <v>66</v>
      </c>
      <c r="AK98" s="506">
        <f t="shared" si="59"/>
        <v>69</v>
      </c>
      <c r="AL98" s="506">
        <f t="shared" si="59"/>
        <v>71</v>
      </c>
      <c r="AM98" s="506"/>
      <c r="AN98" s="502"/>
      <c r="AO98" s="503"/>
      <c r="AP98" s="527"/>
      <c r="AQ98" s="507" t="str">
        <f t="shared" si="42"/>
        <v/>
      </c>
      <c r="AR98" s="508"/>
      <c r="AS98" s="506">
        <v>8</v>
      </c>
      <c r="AT98" s="506" t="s">
        <v>417</v>
      </c>
      <c r="AU98" s="509"/>
      <c r="AV98" s="502" t="str">
        <f t="shared" si="43"/>
        <v>Oct</v>
      </c>
      <c r="AW98" s="629">
        <f>IF($AM$48=1,AW97+30,"01/10 ")</f>
        <v>45566</v>
      </c>
      <c r="AX98" s="630"/>
      <c r="AY98" s="631">
        <f t="shared" si="44"/>
        <v>3</v>
      </c>
      <c r="AZ98" s="632"/>
      <c r="BA98" s="505"/>
    </row>
    <row r="99" spans="1:53" ht="12.75" hidden="1" customHeight="1">
      <c r="A99" s="505">
        <f t="shared" si="46"/>
        <v>2</v>
      </c>
      <c r="B99" s="423">
        <v>9</v>
      </c>
      <c r="C99" s="424">
        <v>22</v>
      </c>
      <c r="D99" s="424" t="str">
        <f t="shared" si="47"/>
        <v>B</v>
      </c>
      <c r="E99" s="424">
        <v>20</v>
      </c>
      <c r="F99" s="424" t="str">
        <f t="shared" si="48"/>
        <v>E</v>
      </c>
      <c r="G99" s="424">
        <v>22</v>
      </c>
      <c r="H99" s="424" t="str">
        <f t="shared" si="49"/>
        <v>F</v>
      </c>
      <c r="I99" s="424">
        <v>20</v>
      </c>
      <c r="J99" s="424" t="str">
        <f t="shared" si="50"/>
        <v>B</v>
      </c>
      <c r="K99" s="424">
        <v>20</v>
      </c>
      <c r="L99" s="424" t="str">
        <f t="shared" si="51"/>
        <v>D</v>
      </c>
      <c r="M99" s="424">
        <v>18</v>
      </c>
      <c r="N99" s="424" t="str">
        <f t="shared" si="52"/>
        <v>G</v>
      </c>
      <c r="O99" s="424">
        <v>18</v>
      </c>
      <c r="P99" s="424" t="str">
        <f t="shared" si="53"/>
        <v>B</v>
      </c>
      <c r="Q99" s="424">
        <v>16</v>
      </c>
      <c r="R99" s="424" t="str">
        <f t="shared" si="54"/>
        <v>E</v>
      </c>
      <c r="S99" s="424">
        <v>15</v>
      </c>
      <c r="T99" s="424" t="str">
        <f t="shared" si="55"/>
        <v>A</v>
      </c>
      <c r="U99" s="424">
        <v>14</v>
      </c>
      <c r="V99" s="424" t="str">
        <f t="shared" si="56"/>
        <v>C</v>
      </c>
      <c r="W99" s="424">
        <v>13</v>
      </c>
      <c r="X99" s="424" t="str">
        <f t="shared" si="57"/>
        <v>F</v>
      </c>
      <c r="Y99" s="424">
        <v>12</v>
      </c>
      <c r="Z99" s="425" t="str">
        <f t="shared" si="58"/>
        <v>A</v>
      </c>
      <c r="AA99" s="506">
        <f t="shared" si="59"/>
        <v>66</v>
      </c>
      <c r="AB99" s="506">
        <f t="shared" si="59"/>
        <v>69</v>
      </c>
      <c r="AC99" s="506">
        <f t="shared" si="59"/>
        <v>70</v>
      </c>
      <c r="AD99" s="506">
        <f t="shared" si="59"/>
        <v>66</v>
      </c>
      <c r="AE99" s="506">
        <f t="shared" si="59"/>
        <v>68</v>
      </c>
      <c r="AF99" s="506">
        <f t="shared" si="59"/>
        <v>71</v>
      </c>
      <c r="AG99" s="506">
        <f t="shared" si="59"/>
        <v>66</v>
      </c>
      <c r="AH99" s="506">
        <f t="shared" si="59"/>
        <v>69</v>
      </c>
      <c r="AI99" s="506">
        <f t="shared" si="59"/>
        <v>65</v>
      </c>
      <c r="AJ99" s="506">
        <f t="shared" si="59"/>
        <v>67</v>
      </c>
      <c r="AK99" s="506">
        <f t="shared" si="59"/>
        <v>70</v>
      </c>
      <c r="AL99" s="506">
        <f t="shared" si="59"/>
        <v>65</v>
      </c>
      <c r="AM99" s="506"/>
      <c r="AN99" s="502"/>
      <c r="AO99" s="503"/>
      <c r="AP99" s="527"/>
      <c r="AQ99" s="507" t="str">
        <f t="shared" si="42"/>
        <v/>
      </c>
      <c r="AR99" s="508"/>
      <c r="AS99" s="506">
        <v>9</v>
      </c>
      <c r="AT99" s="506" t="s">
        <v>496</v>
      </c>
      <c r="AU99" s="509"/>
      <c r="AV99" s="502" t="str">
        <f t="shared" si="43"/>
        <v>Nov</v>
      </c>
      <c r="AW99" s="629">
        <f>IF($AM$48=1,AW98+31,"01/11 ")</f>
        <v>45597</v>
      </c>
      <c r="AX99" s="630"/>
      <c r="AY99" s="631">
        <f t="shared" si="44"/>
        <v>6</v>
      </c>
      <c r="AZ99" s="632"/>
      <c r="BA99" s="505"/>
    </row>
    <row r="100" spans="1:53" ht="12.75" hidden="1" customHeight="1">
      <c r="A100" s="505">
        <f t="shared" si="46"/>
        <v>3</v>
      </c>
      <c r="B100" s="423">
        <v>10</v>
      </c>
      <c r="C100" s="424">
        <v>21</v>
      </c>
      <c r="D100" s="424" t="str">
        <f t="shared" si="47"/>
        <v>C</v>
      </c>
      <c r="E100" s="424">
        <v>19</v>
      </c>
      <c r="F100" s="424" t="str">
        <f t="shared" si="48"/>
        <v>F</v>
      </c>
      <c r="G100" s="424">
        <v>21</v>
      </c>
      <c r="H100" s="424" t="str">
        <f t="shared" si="49"/>
        <v>G</v>
      </c>
      <c r="I100" s="424">
        <v>19</v>
      </c>
      <c r="J100" s="424" t="str">
        <f t="shared" si="50"/>
        <v>C</v>
      </c>
      <c r="K100" s="424">
        <v>19</v>
      </c>
      <c r="L100" s="424" t="str">
        <f t="shared" si="51"/>
        <v>E</v>
      </c>
      <c r="M100" s="424">
        <v>17</v>
      </c>
      <c r="N100" s="424" t="str">
        <f t="shared" si="52"/>
        <v>A</v>
      </c>
      <c r="O100" s="424">
        <v>17</v>
      </c>
      <c r="P100" s="424" t="str">
        <f t="shared" si="53"/>
        <v>C</v>
      </c>
      <c r="Q100" s="424">
        <v>15</v>
      </c>
      <c r="R100" s="424" t="str">
        <f t="shared" si="54"/>
        <v>F</v>
      </c>
      <c r="S100" s="424">
        <v>14</v>
      </c>
      <c r="T100" s="424" t="str">
        <f t="shared" si="55"/>
        <v>B</v>
      </c>
      <c r="U100" s="424">
        <v>13</v>
      </c>
      <c r="V100" s="424" t="str">
        <f t="shared" si="56"/>
        <v>D</v>
      </c>
      <c r="W100" s="424">
        <v>12</v>
      </c>
      <c r="X100" s="424" t="str">
        <f t="shared" si="57"/>
        <v>G</v>
      </c>
      <c r="Y100" s="424">
        <v>11</v>
      </c>
      <c r="Z100" s="425" t="str">
        <f t="shared" si="58"/>
        <v>B</v>
      </c>
      <c r="AA100" s="506">
        <f t="shared" si="59"/>
        <v>67</v>
      </c>
      <c r="AB100" s="506">
        <f t="shared" si="59"/>
        <v>70</v>
      </c>
      <c r="AC100" s="506">
        <f t="shared" si="59"/>
        <v>71</v>
      </c>
      <c r="AD100" s="506">
        <f t="shared" si="59"/>
        <v>67</v>
      </c>
      <c r="AE100" s="506">
        <f t="shared" si="59"/>
        <v>69</v>
      </c>
      <c r="AF100" s="506">
        <f t="shared" si="59"/>
        <v>65</v>
      </c>
      <c r="AG100" s="506">
        <f t="shared" si="59"/>
        <v>67</v>
      </c>
      <c r="AH100" s="506">
        <f t="shared" si="59"/>
        <v>70</v>
      </c>
      <c r="AI100" s="506">
        <f t="shared" si="59"/>
        <v>66</v>
      </c>
      <c r="AJ100" s="506">
        <f t="shared" si="59"/>
        <v>68</v>
      </c>
      <c r="AK100" s="506">
        <f t="shared" si="59"/>
        <v>71</v>
      </c>
      <c r="AL100" s="506">
        <f t="shared" si="59"/>
        <v>66</v>
      </c>
      <c r="AM100" s="506"/>
      <c r="AN100" s="502"/>
      <c r="AO100" s="503"/>
      <c r="AP100" s="527"/>
      <c r="AQ100" s="507" t="str">
        <f t="shared" si="42"/>
        <v/>
      </c>
      <c r="AR100" s="508"/>
      <c r="AS100" s="506">
        <v>10</v>
      </c>
      <c r="AT100" s="506" t="s">
        <v>590</v>
      </c>
      <c r="AU100" s="509"/>
      <c r="AV100" s="502" t="str">
        <f t="shared" si="43"/>
        <v>Dic</v>
      </c>
      <c r="AW100" s="629">
        <f>IF($AM$48=1,AW99+30,"01/12 ")</f>
        <v>45627</v>
      </c>
      <c r="AX100" s="630"/>
      <c r="AY100" s="631">
        <f t="shared" si="44"/>
        <v>1</v>
      </c>
      <c r="AZ100" s="632"/>
      <c r="BA100" s="505"/>
    </row>
    <row r="101" spans="1:53" ht="12.75" hidden="1" customHeight="1">
      <c r="A101" s="505">
        <f t="shared" si="46"/>
        <v>4</v>
      </c>
      <c r="B101" s="423">
        <v>11</v>
      </c>
      <c r="C101" s="424">
        <v>20</v>
      </c>
      <c r="D101" s="424" t="str">
        <f t="shared" si="47"/>
        <v>D</v>
      </c>
      <c r="E101" s="424">
        <v>18</v>
      </c>
      <c r="F101" s="424" t="str">
        <f t="shared" si="48"/>
        <v>G</v>
      </c>
      <c r="G101" s="424">
        <v>20</v>
      </c>
      <c r="H101" s="424" t="str">
        <f t="shared" si="49"/>
        <v>A</v>
      </c>
      <c r="I101" s="424">
        <v>18</v>
      </c>
      <c r="J101" s="424" t="str">
        <f t="shared" si="50"/>
        <v>D</v>
      </c>
      <c r="K101" s="424">
        <v>18</v>
      </c>
      <c r="L101" s="424" t="str">
        <f t="shared" si="51"/>
        <v>F</v>
      </c>
      <c r="M101" s="424">
        <v>16</v>
      </c>
      <c r="N101" s="424" t="str">
        <f t="shared" si="52"/>
        <v>B</v>
      </c>
      <c r="O101" s="424">
        <v>16</v>
      </c>
      <c r="P101" s="424" t="str">
        <f t="shared" si="53"/>
        <v>D</v>
      </c>
      <c r="Q101" s="424">
        <v>14</v>
      </c>
      <c r="R101" s="424" t="str">
        <f t="shared" si="54"/>
        <v>G</v>
      </c>
      <c r="S101" s="424">
        <v>13</v>
      </c>
      <c r="T101" s="424" t="str">
        <f t="shared" si="55"/>
        <v>C</v>
      </c>
      <c r="U101" s="424">
        <v>12</v>
      </c>
      <c r="V101" s="424" t="str">
        <f t="shared" si="56"/>
        <v>E</v>
      </c>
      <c r="W101" s="424">
        <v>11</v>
      </c>
      <c r="X101" s="424" t="str">
        <f t="shared" si="57"/>
        <v>A</v>
      </c>
      <c r="Y101" s="424">
        <v>10</v>
      </c>
      <c r="Z101" s="425" t="str">
        <f t="shared" si="58"/>
        <v>C</v>
      </c>
      <c r="AA101" s="506">
        <f t="shared" si="59"/>
        <v>68</v>
      </c>
      <c r="AB101" s="506">
        <f t="shared" si="59"/>
        <v>71</v>
      </c>
      <c r="AC101" s="506">
        <f t="shared" si="59"/>
        <v>65</v>
      </c>
      <c r="AD101" s="506">
        <f t="shared" si="59"/>
        <v>68</v>
      </c>
      <c r="AE101" s="506">
        <f t="shared" si="59"/>
        <v>70</v>
      </c>
      <c r="AF101" s="506">
        <f t="shared" si="59"/>
        <v>66</v>
      </c>
      <c r="AG101" s="506">
        <f t="shared" si="59"/>
        <v>68</v>
      </c>
      <c r="AH101" s="506">
        <f t="shared" si="59"/>
        <v>71</v>
      </c>
      <c r="AI101" s="506">
        <f t="shared" si="59"/>
        <v>67</v>
      </c>
      <c r="AJ101" s="506">
        <f t="shared" si="59"/>
        <v>69</v>
      </c>
      <c r="AK101" s="506">
        <f t="shared" si="59"/>
        <v>65</v>
      </c>
      <c r="AL101" s="506">
        <f t="shared" si="59"/>
        <v>67</v>
      </c>
      <c r="AM101" s="506"/>
      <c r="AN101" s="506"/>
      <c r="AO101" s="506"/>
      <c r="AP101" s="506"/>
      <c r="AQ101" s="504"/>
      <c r="AR101" s="504"/>
      <c r="AS101" s="506">
        <v>11</v>
      </c>
      <c r="AT101" s="506" t="s">
        <v>414</v>
      </c>
      <c r="AU101" s="505"/>
      <c r="AV101" s="505"/>
      <c r="AW101" s="505"/>
      <c r="AX101" s="505"/>
      <c r="AY101" s="505"/>
      <c r="AZ101" s="505"/>
      <c r="BA101" s="505"/>
    </row>
    <row r="102" spans="1:53" ht="12.75" hidden="1" customHeight="1">
      <c r="A102" s="505">
        <f t="shared" si="46"/>
        <v>5</v>
      </c>
      <c r="B102" s="423">
        <v>12</v>
      </c>
      <c r="C102" s="424">
        <v>19</v>
      </c>
      <c r="D102" s="424" t="str">
        <f t="shared" si="47"/>
        <v>E</v>
      </c>
      <c r="E102" s="424">
        <v>17</v>
      </c>
      <c r="F102" s="424" t="str">
        <f t="shared" si="48"/>
        <v>A</v>
      </c>
      <c r="G102" s="424">
        <v>19</v>
      </c>
      <c r="H102" s="424" t="str">
        <f t="shared" si="49"/>
        <v>B</v>
      </c>
      <c r="I102" s="424">
        <v>17</v>
      </c>
      <c r="J102" s="424" t="str">
        <f t="shared" si="50"/>
        <v>E</v>
      </c>
      <c r="K102" s="424">
        <v>17</v>
      </c>
      <c r="L102" s="424" t="str">
        <f t="shared" si="51"/>
        <v>G</v>
      </c>
      <c r="M102" s="424">
        <v>15</v>
      </c>
      <c r="N102" s="424" t="str">
        <f t="shared" si="52"/>
        <v>C</v>
      </c>
      <c r="O102" s="424">
        <v>15</v>
      </c>
      <c r="P102" s="424" t="str">
        <f t="shared" si="53"/>
        <v>E</v>
      </c>
      <c r="Q102" s="424">
        <v>13</v>
      </c>
      <c r="R102" s="424" t="str">
        <f t="shared" si="54"/>
        <v>A</v>
      </c>
      <c r="S102" s="424">
        <v>12</v>
      </c>
      <c r="T102" s="424" t="str">
        <f t="shared" si="55"/>
        <v>D</v>
      </c>
      <c r="U102" s="424">
        <v>11</v>
      </c>
      <c r="V102" s="424" t="str">
        <f t="shared" si="56"/>
        <v>F</v>
      </c>
      <c r="W102" s="424">
        <v>10</v>
      </c>
      <c r="X102" s="424" t="str">
        <f t="shared" si="57"/>
        <v>B</v>
      </c>
      <c r="Y102" s="424">
        <v>9</v>
      </c>
      <c r="Z102" s="425" t="str">
        <f t="shared" si="58"/>
        <v>D</v>
      </c>
      <c r="AA102" s="506">
        <f t="shared" si="59"/>
        <v>69</v>
      </c>
      <c r="AB102" s="506">
        <f t="shared" si="59"/>
        <v>65</v>
      </c>
      <c r="AC102" s="506">
        <f t="shared" si="59"/>
        <v>66</v>
      </c>
      <c r="AD102" s="506">
        <f t="shared" si="59"/>
        <v>69</v>
      </c>
      <c r="AE102" s="506">
        <f t="shared" si="59"/>
        <v>71</v>
      </c>
      <c r="AF102" s="506">
        <f t="shared" si="59"/>
        <v>67</v>
      </c>
      <c r="AG102" s="506">
        <f t="shared" si="59"/>
        <v>69</v>
      </c>
      <c r="AH102" s="506">
        <f t="shared" si="59"/>
        <v>65</v>
      </c>
      <c r="AI102" s="506">
        <f t="shared" si="59"/>
        <v>68</v>
      </c>
      <c r="AJ102" s="506">
        <f t="shared" si="59"/>
        <v>70</v>
      </c>
      <c r="AK102" s="506">
        <f t="shared" si="59"/>
        <v>66</v>
      </c>
      <c r="AL102" s="506">
        <f t="shared" si="59"/>
        <v>68</v>
      </c>
      <c r="AM102" s="506"/>
      <c r="AN102" s="506"/>
      <c r="AO102" s="506"/>
      <c r="AP102" s="506"/>
      <c r="AQ102" s="504"/>
      <c r="AR102" s="504"/>
      <c r="AS102" s="506">
        <v>12</v>
      </c>
      <c r="AT102" s="506" t="s">
        <v>586</v>
      </c>
      <c r="AU102" s="505"/>
      <c r="AV102" s="505"/>
      <c r="AW102" s="505"/>
      <c r="AX102" s="505"/>
      <c r="AY102" s="505"/>
      <c r="AZ102" s="505"/>
      <c r="BA102" s="505"/>
    </row>
    <row r="103" spans="1:53" ht="12.75" hidden="1" customHeight="1">
      <c r="A103" s="505">
        <f t="shared" si="46"/>
        <v>6</v>
      </c>
      <c r="B103" s="423">
        <v>13</v>
      </c>
      <c r="C103" s="424">
        <v>18</v>
      </c>
      <c r="D103" s="424" t="str">
        <f t="shared" si="47"/>
        <v>F</v>
      </c>
      <c r="E103" s="424">
        <v>16</v>
      </c>
      <c r="F103" s="424" t="str">
        <f t="shared" si="48"/>
        <v>B</v>
      </c>
      <c r="G103" s="424">
        <v>18</v>
      </c>
      <c r="H103" s="424" t="str">
        <f t="shared" si="49"/>
        <v>C</v>
      </c>
      <c r="I103" s="424">
        <v>16</v>
      </c>
      <c r="J103" s="424" t="str">
        <f t="shared" si="50"/>
        <v>F</v>
      </c>
      <c r="K103" s="424">
        <v>16</v>
      </c>
      <c r="L103" s="424" t="str">
        <f t="shared" si="51"/>
        <v>A</v>
      </c>
      <c r="M103" s="424">
        <v>14</v>
      </c>
      <c r="N103" s="424" t="str">
        <f t="shared" si="52"/>
        <v>D</v>
      </c>
      <c r="O103" s="424">
        <v>14</v>
      </c>
      <c r="P103" s="424" t="str">
        <f t="shared" si="53"/>
        <v>F</v>
      </c>
      <c r="Q103" s="424">
        <v>12</v>
      </c>
      <c r="R103" s="424" t="str">
        <f t="shared" si="54"/>
        <v>B</v>
      </c>
      <c r="S103" s="424">
        <v>11</v>
      </c>
      <c r="T103" s="424" t="str">
        <f t="shared" si="55"/>
        <v>E</v>
      </c>
      <c r="U103" s="424">
        <v>10</v>
      </c>
      <c r="V103" s="424" t="str">
        <f t="shared" si="56"/>
        <v>G</v>
      </c>
      <c r="W103" s="424">
        <v>9</v>
      </c>
      <c r="X103" s="424" t="str">
        <f t="shared" si="57"/>
        <v>C</v>
      </c>
      <c r="Y103" s="424">
        <v>8</v>
      </c>
      <c r="Z103" s="425" t="str">
        <f t="shared" si="58"/>
        <v>E</v>
      </c>
      <c r="AA103" s="506">
        <f t="shared" si="59"/>
        <v>70</v>
      </c>
      <c r="AB103" s="506">
        <f t="shared" si="59"/>
        <v>66</v>
      </c>
      <c r="AC103" s="506">
        <f t="shared" si="59"/>
        <v>67</v>
      </c>
      <c r="AD103" s="506">
        <f t="shared" si="59"/>
        <v>70</v>
      </c>
      <c r="AE103" s="506">
        <f t="shared" si="59"/>
        <v>65</v>
      </c>
      <c r="AF103" s="506">
        <f t="shared" si="59"/>
        <v>68</v>
      </c>
      <c r="AG103" s="506">
        <f t="shared" si="59"/>
        <v>70</v>
      </c>
      <c r="AH103" s="506">
        <f t="shared" si="59"/>
        <v>66</v>
      </c>
      <c r="AI103" s="506">
        <f t="shared" si="59"/>
        <v>69</v>
      </c>
      <c r="AJ103" s="506">
        <f t="shared" si="59"/>
        <v>71</v>
      </c>
      <c r="AK103" s="506">
        <f t="shared" si="59"/>
        <v>67</v>
      </c>
      <c r="AL103" s="506">
        <f t="shared" si="59"/>
        <v>69</v>
      </c>
      <c r="AM103" s="506"/>
      <c r="AN103" s="506"/>
      <c r="AO103" s="506"/>
      <c r="AP103" s="506"/>
      <c r="AQ103" s="504"/>
      <c r="AR103" s="504"/>
      <c r="AS103" s="506">
        <v>13</v>
      </c>
      <c r="AT103" s="506" t="s">
        <v>498</v>
      </c>
      <c r="AU103" s="505"/>
      <c r="AV103" s="505"/>
      <c r="AW103" s="505"/>
      <c r="AX103" s="505"/>
      <c r="AY103" s="505"/>
      <c r="AZ103" s="505"/>
      <c r="BA103" s="505"/>
    </row>
    <row r="104" spans="1:53" ht="12.75" hidden="1" customHeight="1">
      <c r="A104" s="505">
        <f t="shared" si="46"/>
        <v>7</v>
      </c>
      <c r="B104" s="423">
        <v>14</v>
      </c>
      <c r="C104" s="424">
        <v>17</v>
      </c>
      <c r="D104" s="424" t="str">
        <f t="shared" si="47"/>
        <v>G</v>
      </c>
      <c r="E104" s="424">
        <v>15</v>
      </c>
      <c r="F104" s="424" t="str">
        <f t="shared" si="48"/>
        <v>C</v>
      </c>
      <c r="G104" s="424">
        <v>17</v>
      </c>
      <c r="H104" s="424" t="str">
        <f t="shared" si="49"/>
        <v>D</v>
      </c>
      <c r="I104" s="424">
        <v>15</v>
      </c>
      <c r="J104" s="424" t="str">
        <f t="shared" si="50"/>
        <v>G</v>
      </c>
      <c r="K104" s="424">
        <v>15</v>
      </c>
      <c r="L104" s="424" t="str">
        <f t="shared" si="51"/>
        <v>B</v>
      </c>
      <c r="M104" s="424">
        <v>13</v>
      </c>
      <c r="N104" s="424" t="str">
        <f t="shared" si="52"/>
        <v>E</v>
      </c>
      <c r="O104" s="424">
        <v>13</v>
      </c>
      <c r="P104" s="424" t="str">
        <f t="shared" si="53"/>
        <v>G</v>
      </c>
      <c r="Q104" s="424">
        <v>11</v>
      </c>
      <c r="R104" s="424" t="str">
        <f t="shared" si="54"/>
        <v>C</v>
      </c>
      <c r="S104" s="424">
        <v>10</v>
      </c>
      <c r="T104" s="424" t="str">
        <f t="shared" si="55"/>
        <v>F</v>
      </c>
      <c r="U104" s="424">
        <v>9</v>
      </c>
      <c r="V104" s="424" t="str">
        <f t="shared" si="56"/>
        <v>A</v>
      </c>
      <c r="W104" s="424">
        <v>8</v>
      </c>
      <c r="X104" s="424" t="str">
        <f t="shared" si="57"/>
        <v>D</v>
      </c>
      <c r="Y104" s="424">
        <v>7</v>
      </c>
      <c r="Z104" s="425" t="str">
        <f t="shared" si="58"/>
        <v>F</v>
      </c>
      <c r="AA104" s="506">
        <f t="shared" si="59"/>
        <v>71</v>
      </c>
      <c r="AB104" s="506">
        <f t="shared" si="59"/>
        <v>67</v>
      </c>
      <c r="AC104" s="506">
        <f t="shared" si="59"/>
        <v>68</v>
      </c>
      <c r="AD104" s="506">
        <f t="shared" si="59"/>
        <v>71</v>
      </c>
      <c r="AE104" s="506">
        <f t="shared" si="59"/>
        <v>66</v>
      </c>
      <c r="AF104" s="506">
        <f t="shared" si="59"/>
        <v>69</v>
      </c>
      <c r="AG104" s="506">
        <f t="shared" si="59"/>
        <v>71</v>
      </c>
      <c r="AH104" s="506">
        <f t="shared" si="59"/>
        <v>67</v>
      </c>
      <c r="AI104" s="506">
        <f t="shared" si="59"/>
        <v>70</v>
      </c>
      <c r="AJ104" s="506">
        <f t="shared" si="59"/>
        <v>65</v>
      </c>
      <c r="AK104" s="506">
        <f t="shared" si="59"/>
        <v>68</v>
      </c>
      <c r="AL104" s="506">
        <f t="shared" si="59"/>
        <v>70</v>
      </c>
      <c r="AM104" s="506"/>
      <c r="AN104" s="506"/>
      <c r="AO104" s="506"/>
      <c r="AP104" s="506"/>
      <c r="AQ104" s="504"/>
      <c r="AR104" s="504"/>
      <c r="AS104" s="506">
        <v>14</v>
      </c>
      <c r="AT104" s="506" t="s">
        <v>230</v>
      </c>
      <c r="AU104" s="505"/>
      <c r="AV104" s="506">
        <v>1</v>
      </c>
      <c r="AW104" s="427">
        <f t="shared" ref="AW104:AW115" si="60">EOMONTH(AW89,0)</f>
        <v>45322</v>
      </c>
      <c r="AX104" s="505"/>
      <c r="AY104" s="506" t="s">
        <v>615</v>
      </c>
      <c r="AZ104" s="506"/>
      <c r="BA104" s="506">
        <f>$AH$12</f>
        <v>1</v>
      </c>
    </row>
    <row r="105" spans="1:53" ht="12.75" hidden="1" customHeight="1">
      <c r="A105" s="505">
        <f t="shared" si="46"/>
        <v>1</v>
      </c>
      <c r="B105" s="423">
        <v>15</v>
      </c>
      <c r="C105" s="424">
        <v>16</v>
      </c>
      <c r="D105" s="424" t="str">
        <f t="shared" si="47"/>
        <v>A</v>
      </c>
      <c r="E105" s="424">
        <v>14</v>
      </c>
      <c r="F105" s="424" t="str">
        <f t="shared" si="48"/>
        <v>D</v>
      </c>
      <c r="G105" s="424">
        <v>16</v>
      </c>
      <c r="H105" s="424" t="str">
        <f t="shared" si="49"/>
        <v>E</v>
      </c>
      <c r="I105" s="424">
        <v>14</v>
      </c>
      <c r="J105" s="424" t="str">
        <f t="shared" si="50"/>
        <v>A</v>
      </c>
      <c r="K105" s="424">
        <v>14</v>
      </c>
      <c r="L105" s="424" t="str">
        <f t="shared" si="51"/>
        <v>C</v>
      </c>
      <c r="M105" s="424">
        <v>12</v>
      </c>
      <c r="N105" s="424" t="str">
        <f t="shared" si="52"/>
        <v>F</v>
      </c>
      <c r="O105" s="424">
        <v>12</v>
      </c>
      <c r="P105" s="424" t="str">
        <f t="shared" si="53"/>
        <v>A</v>
      </c>
      <c r="Q105" s="424">
        <v>10</v>
      </c>
      <c r="R105" s="424" t="str">
        <f t="shared" si="54"/>
        <v>D</v>
      </c>
      <c r="S105" s="424">
        <v>9</v>
      </c>
      <c r="T105" s="424" t="str">
        <f t="shared" si="55"/>
        <v>G</v>
      </c>
      <c r="U105" s="424">
        <v>8</v>
      </c>
      <c r="V105" s="424" t="str">
        <f t="shared" si="56"/>
        <v>B</v>
      </c>
      <c r="W105" s="424">
        <v>7</v>
      </c>
      <c r="X105" s="424" t="str">
        <f t="shared" si="57"/>
        <v>E</v>
      </c>
      <c r="Y105" s="424">
        <v>6</v>
      </c>
      <c r="Z105" s="425" t="str">
        <f t="shared" si="58"/>
        <v>G</v>
      </c>
      <c r="AA105" s="506">
        <f t="shared" si="59"/>
        <v>65</v>
      </c>
      <c r="AB105" s="506">
        <f t="shared" si="59"/>
        <v>68</v>
      </c>
      <c r="AC105" s="506">
        <f t="shared" si="59"/>
        <v>69</v>
      </c>
      <c r="AD105" s="506">
        <f t="shared" si="59"/>
        <v>65</v>
      </c>
      <c r="AE105" s="506">
        <f t="shared" si="59"/>
        <v>67</v>
      </c>
      <c r="AF105" s="506">
        <f t="shared" si="59"/>
        <v>70</v>
      </c>
      <c r="AG105" s="506">
        <f t="shared" si="59"/>
        <v>65</v>
      </c>
      <c r="AH105" s="506">
        <f t="shared" si="59"/>
        <v>68</v>
      </c>
      <c r="AI105" s="506">
        <f t="shared" si="59"/>
        <v>71</v>
      </c>
      <c r="AJ105" s="506">
        <f t="shared" si="59"/>
        <v>66</v>
      </c>
      <c r="AK105" s="506">
        <f t="shared" si="59"/>
        <v>69</v>
      </c>
      <c r="AL105" s="506">
        <f t="shared" si="59"/>
        <v>71</v>
      </c>
      <c r="AM105" s="506"/>
      <c r="AN105" s="506"/>
      <c r="AO105" s="506"/>
      <c r="AP105" s="506"/>
      <c r="AQ105" s="504"/>
      <c r="AR105" s="504"/>
      <c r="AS105" s="506">
        <v>15</v>
      </c>
      <c r="AT105" s="506" t="s">
        <v>416</v>
      </c>
      <c r="AU105" s="505"/>
      <c r="AV105" s="506">
        <v>2</v>
      </c>
      <c r="AW105" s="427">
        <f t="shared" si="60"/>
        <v>45351</v>
      </c>
      <c r="AX105" s="505"/>
      <c r="AY105" s="633" t="b">
        <f>IF(DATE((Q4+1),1,1)-DATE(Q4,1,1)=366,TRUE)</f>
        <v>1</v>
      </c>
      <c r="AZ105" s="634"/>
      <c r="BA105" s="634"/>
    </row>
    <row r="106" spans="1:53" ht="12.75" hidden="1" customHeight="1">
      <c r="A106" s="505">
        <f t="shared" si="46"/>
        <v>2</v>
      </c>
      <c r="B106" s="423">
        <v>16</v>
      </c>
      <c r="C106" s="424">
        <v>15</v>
      </c>
      <c r="D106" s="424" t="str">
        <f t="shared" si="47"/>
        <v>B</v>
      </c>
      <c r="E106" s="424">
        <v>13</v>
      </c>
      <c r="F106" s="424" t="str">
        <f t="shared" si="48"/>
        <v>E</v>
      </c>
      <c r="G106" s="424">
        <v>15</v>
      </c>
      <c r="H106" s="424" t="str">
        <f t="shared" si="49"/>
        <v>F</v>
      </c>
      <c r="I106" s="424">
        <v>13</v>
      </c>
      <c r="J106" s="424" t="str">
        <f t="shared" si="50"/>
        <v>B</v>
      </c>
      <c r="K106" s="424">
        <v>13</v>
      </c>
      <c r="L106" s="424" t="str">
        <f t="shared" si="51"/>
        <v>D</v>
      </c>
      <c r="M106" s="424">
        <v>11</v>
      </c>
      <c r="N106" s="424" t="str">
        <f t="shared" si="52"/>
        <v>G</v>
      </c>
      <c r="O106" s="424">
        <v>11</v>
      </c>
      <c r="P106" s="424" t="str">
        <f t="shared" si="53"/>
        <v>B</v>
      </c>
      <c r="Q106" s="424">
        <v>9</v>
      </c>
      <c r="R106" s="424" t="str">
        <f t="shared" si="54"/>
        <v>E</v>
      </c>
      <c r="S106" s="424">
        <v>8</v>
      </c>
      <c r="T106" s="424" t="str">
        <f t="shared" si="55"/>
        <v>A</v>
      </c>
      <c r="U106" s="424">
        <v>7</v>
      </c>
      <c r="V106" s="424" t="str">
        <f t="shared" si="56"/>
        <v>C</v>
      </c>
      <c r="W106" s="424">
        <v>6</v>
      </c>
      <c r="X106" s="424" t="str">
        <f t="shared" si="57"/>
        <v>F</v>
      </c>
      <c r="Y106" s="424">
        <v>5</v>
      </c>
      <c r="Z106" s="425" t="str">
        <f t="shared" si="58"/>
        <v>A</v>
      </c>
      <c r="AA106" s="506">
        <f t="shared" si="59"/>
        <v>66</v>
      </c>
      <c r="AB106" s="506">
        <f t="shared" si="59"/>
        <v>69</v>
      </c>
      <c r="AC106" s="506">
        <f t="shared" si="59"/>
        <v>70</v>
      </c>
      <c r="AD106" s="506">
        <f t="shared" si="59"/>
        <v>66</v>
      </c>
      <c r="AE106" s="506">
        <f t="shared" si="59"/>
        <v>68</v>
      </c>
      <c r="AF106" s="506">
        <f t="shared" si="59"/>
        <v>71</v>
      </c>
      <c r="AG106" s="506">
        <f t="shared" si="59"/>
        <v>66</v>
      </c>
      <c r="AH106" s="506">
        <f t="shared" si="59"/>
        <v>69</v>
      </c>
      <c r="AI106" s="506">
        <f t="shared" si="59"/>
        <v>65</v>
      </c>
      <c r="AJ106" s="506">
        <f t="shared" si="59"/>
        <v>67</v>
      </c>
      <c r="AK106" s="506">
        <f t="shared" si="59"/>
        <v>70</v>
      </c>
      <c r="AL106" s="506">
        <f t="shared" si="59"/>
        <v>65</v>
      </c>
      <c r="AM106" s="506"/>
      <c r="AN106" s="506"/>
      <c r="AO106" s="506"/>
      <c r="AP106" s="506"/>
      <c r="AQ106" s="504"/>
      <c r="AR106" s="504"/>
      <c r="AS106" s="506">
        <v>16</v>
      </c>
      <c r="AT106" s="506" t="s">
        <v>590</v>
      </c>
      <c r="AU106" s="505"/>
      <c r="AV106" s="506">
        <v>3</v>
      </c>
      <c r="AW106" s="427">
        <f t="shared" si="60"/>
        <v>45382</v>
      </c>
      <c r="AX106" s="505"/>
      <c r="AY106" s="635">
        <f>EOMONTH(BE93,0)</f>
        <v>31</v>
      </c>
      <c r="AZ106" s="636"/>
      <c r="BA106" s="636"/>
    </row>
    <row r="107" spans="1:53" ht="12.75" hidden="1" customHeight="1">
      <c r="A107" s="505">
        <f t="shared" si="46"/>
        <v>3</v>
      </c>
      <c r="B107" s="423">
        <v>17</v>
      </c>
      <c r="C107" s="424">
        <v>14</v>
      </c>
      <c r="D107" s="424" t="str">
        <f t="shared" si="47"/>
        <v>C</v>
      </c>
      <c r="E107" s="424">
        <v>12</v>
      </c>
      <c r="F107" s="424" t="str">
        <f t="shared" si="48"/>
        <v>F</v>
      </c>
      <c r="G107" s="424">
        <v>14</v>
      </c>
      <c r="H107" s="424" t="str">
        <f t="shared" si="49"/>
        <v>G</v>
      </c>
      <c r="I107" s="424">
        <v>12</v>
      </c>
      <c r="J107" s="424" t="str">
        <f t="shared" si="50"/>
        <v>C</v>
      </c>
      <c r="K107" s="424">
        <v>12</v>
      </c>
      <c r="L107" s="424" t="str">
        <f t="shared" si="51"/>
        <v>E</v>
      </c>
      <c r="M107" s="424">
        <v>10</v>
      </c>
      <c r="N107" s="424" t="str">
        <f t="shared" si="52"/>
        <v>A</v>
      </c>
      <c r="O107" s="424">
        <v>10</v>
      </c>
      <c r="P107" s="424" t="str">
        <f t="shared" si="53"/>
        <v>C</v>
      </c>
      <c r="Q107" s="424">
        <v>8</v>
      </c>
      <c r="R107" s="424" t="str">
        <f t="shared" si="54"/>
        <v>F</v>
      </c>
      <c r="S107" s="424">
        <v>7</v>
      </c>
      <c r="T107" s="424" t="str">
        <f t="shared" si="55"/>
        <v>B</v>
      </c>
      <c r="U107" s="424">
        <v>6</v>
      </c>
      <c r="V107" s="424" t="str">
        <f t="shared" si="56"/>
        <v>D</v>
      </c>
      <c r="W107" s="424">
        <v>5</v>
      </c>
      <c r="X107" s="424" t="str">
        <f t="shared" si="57"/>
        <v>G</v>
      </c>
      <c r="Y107" s="424">
        <v>4</v>
      </c>
      <c r="Z107" s="425" t="str">
        <f t="shared" si="58"/>
        <v>B</v>
      </c>
      <c r="AA107" s="506">
        <f t="shared" si="59"/>
        <v>67</v>
      </c>
      <c r="AB107" s="506">
        <f t="shared" si="59"/>
        <v>70</v>
      </c>
      <c r="AC107" s="506">
        <f t="shared" si="59"/>
        <v>71</v>
      </c>
      <c r="AD107" s="506">
        <f t="shared" si="59"/>
        <v>67</v>
      </c>
      <c r="AE107" s="506">
        <f t="shared" si="59"/>
        <v>69</v>
      </c>
      <c r="AF107" s="506">
        <f t="shared" si="59"/>
        <v>65</v>
      </c>
      <c r="AG107" s="506">
        <f t="shared" si="59"/>
        <v>67</v>
      </c>
      <c r="AH107" s="506">
        <f t="shared" si="59"/>
        <v>70</v>
      </c>
      <c r="AI107" s="506">
        <f t="shared" si="59"/>
        <v>66</v>
      </c>
      <c r="AJ107" s="506">
        <f t="shared" si="59"/>
        <v>68</v>
      </c>
      <c r="AK107" s="506">
        <f t="shared" si="59"/>
        <v>71</v>
      </c>
      <c r="AL107" s="506">
        <f t="shared" si="59"/>
        <v>66</v>
      </c>
      <c r="AM107" s="427"/>
      <c r="AN107" s="506"/>
      <c r="AO107" s="506"/>
      <c r="AP107" s="506"/>
      <c r="AQ107" s="504"/>
      <c r="AR107" s="504"/>
      <c r="AS107" s="506">
        <v>17</v>
      </c>
      <c r="AT107" s="506" t="s">
        <v>490</v>
      </c>
      <c r="AU107" s="505"/>
      <c r="AV107" s="506">
        <v>4</v>
      </c>
      <c r="AW107" s="427">
        <f t="shared" si="60"/>
        <v>45412</v>
      </c>
      <c r="AX107" s="505"/>
      <c r="AY107" s="633">
        <f>DAY(DATE(Q4,3,0))</f>
        <v>29</v>
      </c>
      <c r="AZ107" s="634"/>
      <c r="BA107" s="634"/>
    </row>
    <row r="108" spans="1:53" ht="12.75" hidden="1" customHeight="1">
      <c r="A108" s="505">
        <f t="shared" si="46"/>
        <v>4</v>
      </c>
      <c r="B108" s="423">
        <v>18</v>
      </c>
      <c r="C108" s="424">
        <v>13</v>
      </c>
      <c r="D108" s="424" t="str">
        <f t="shared" si="47"/>
        <v>D</v>
      </c>
      <c r="E108" s="424">
        <v>11</v>
      </c>
      <c r="F108" s="424" t="str">
        <f t="shared" si="48"/>
        <v>G</v>
      </c>
      <c r="G108" s="424">
        <v>13</v>
      </c>
      <c r="H108" s="424" t="str">
        <f t="shared" si="49"/>
        <v>A</v>
      </c>
      <c r="I108" s="424">
        <v>11</v>
      </c>
      <c r="J108" s="424" t="str">
        <f t="shared" si="50"/>
        <v>D</v>
      </c>
      <c r="K108" s="424">
        <v>11</v>
      </c>
      <c r="L108" s="424" t="str">
        <f t="shared" si="51"/>
        <v>F</v>
      </c>
      <c r="M108" s="424">
        <v>9</v>
      </c>
      <c r="N108" s="424" t="str">
        <f t="shared" si="52"/>
        <v>B</v>
      </c>
      <c r="O108" s="424">
        <v>9</v>
      </c>
      <c r="P108" s="424" t="str">
        <f t="shared" si="53"/>
        <v>D</v>
      </c>
      <c r="Q108" s="424">
        <v>7</v>
      </c>
      <c r="R108" s="424" t="str">
        <f t="shared" si="54"/>
        <v>G</v>
      </c>
      <c r="S108" s="424">
        <v>6</v>
      </c>
      <c r="T108" s="424" t="str">
        <f t="shared" si="55"/>
        <v>C</v>
      </c>
      <c r="U108" s="424">
        <v>5</v>
      </c>
      <c r="V108" s="424" t="str">
        <f t="shared" si="56"/>
        <v>E</v>
      </c>
      <c r="W108" s="424">
        <v>4</v>
      </c>
      <c r="X108" s="424" t="str">
        <f t="shared" si="57"/>
        <v>A</v>
      </c>
      <c r="Y108" s="424">
        <v>3</v>
      </c>
      <c r="Z108" s="425" t="str">
        <f t="shared" si="58"/>
        <v>C</v>
      </c>
      <c r="AA108" s="506">
        <f t="shared" si="59"/>
        <v>68</v>
      </c>
      <c r="AB108" s="506">
        <f t="shared" si="59"/>
        <v>71</v>
      </c>
      <c r="AC108" s="506">
        <f t="shared" si="59"/>
        <v>65</v>
      </c>
      <c r="AD108" s="506">
        <f t="shared" si="59"/>
        <v>68</v>
      </c>
      <c r="AE108" s="506">
        <f t="shared" si="59"/>
        <v>70</v>
      </c>
      <c r="AF108" s="506">
        <f t="shared" si="59"/>
        <v>66</v>
      </c>
      <c r="AG108" s="506">
        <f t="shared" si="59"/>
        <v>68</v>
      </c>
      <c r="AH108" s="506">
        <f t="shared" si="59"/>
        <v>71</v>
      </c>
      <c r="AI108" s="506">
        <f t="shared" si="59"/>
        <v>67</v>
      </c>
      <c r="AJ108" s="506">
        <f t="shared" si="59"/>
        <v>69</v>
      </c>
      <c r="AK108" s="506">
        <f t="shared" si="59"/>
        <v>65</v>
      </c>
      <c r="AL108" s="506">
        <f t="shared" si="59"/>
        <v>67</v>
      </c>
      <c r="AM108" s="427"/>
      <c r="AN108" s="506"/>
      <c r="AO108" s="506"/>
      <c r="AP108" s="506"/>
      <c r="AQ108" s="504"/>
      <c r="AR108" s="504"/>
      <c r="AS108" s="506">
        <v>18</v>
      </c>
      <c r="AT108" s="506" t="s">
        <v>418</v>
      </c>
      <c r="AU108" s="505"/>
      <c r="AV108" s="506">
        <v>5</v>
      </c>
      <c r="AW108" s="427">
        <f t="shared" si="60"/>
        <v>45443</v>
      </c>
      <c r="AX108" s="505"/>
      <c r="AY108" s="506"/>
      <c r="AZ108" s="633" t="b">
        <f>IF(WEEKDAY(DATE(Q4,2,1)) = WEEKDAY(DATE(Q4,3,0)), TRUE)</f>
        <v>1</v>
      </c>
      <c r="BA108" s="634"/>
    </row>
    <row r="109" spans="1:53" ht="12.75" hidden="1" customHeight="1">
      <c r="A109" s="505">
        <f t="shared" si="46"/>
        <v>5</v>
      </c>
      <c r="B109" s="423">
        <v>19</v>
      </c>
      <c r="C109" s="424">
        <v>12</v>
      </c>
      <c r="D109" s="424" t="str">
        <f t="shared" si="47"/>
        <v>E</v>
      </c>
      <c r="E109" s="424">
        <v>10</v>
      </c>
      <c r="F109" s="424" t="str">
        <f t="shared" si="48"/>
        <v>A</v>
      </c>
      <c r="G109" s="424">
        <v>12</v>
      </c>
      <c r="H109" s="424" t="str">
        <f t="shared" si="49"/>
        <v>B</v>
      </c>
      <c r="I109" s="424">
        <v>10</v>
      </c>
      <c r="J109" s="424" t="str">
        <f t="shared" si="50"/>
        <v>E</v>
      </c>
      <c r="K109" s="424">
        <v>10</v>
      </c>
      <c r="L109" s="424" t="str">
        <f t="shared" si="51"/>
        <v>G</v>
      </c>
      <c r="M109" s="424">
        <v>8</v>
      </c>
      <c r="N109" s="424" t="str">
        <f t="shared" si="52"/>
        <v>C</v>
      </c>
      <c r="O109" s="424">
        <v>8</v>
      </c>
      <c r="P109" s="424" t="str">
        <f t="shared" si="53"/>
        <v>E</v>
      </c>
      <c r="Q109" s="424">
        <v>6</v>
      </c>
      <c r="R109" s="424" t="str">
        <f t="shared" si="54"/>
        <v>A</v>
      </c>
      <c r="S109" s="424">
        <v>5</v>
      </c>
      <c r="T109" s="424" t="str">
        <f t="shared" si="55"/>
        <v>D</v>
      </c>
      <c r="U109" s="424">
        <v>4</v>
      </c>
      <c r="V109" s="424" t="str">
        <f t="shared" si="56"/>
        <v>F</v>
      </c>
      <c r="W109" s="424">
        <v>3</v>
      </c>
      <c r="X109" s="424" t="str">
        <f t="shared" si="57"/>
        <v>B</v>
      </c>
      <c r="Y109" s="424">
        <v>2</v>
      </c>
      <c r="Z109" s="425" t="str">
        <f t="shared" si="58"/>
        <v>D</v>
      </c>
      <c r="AA109" s="506">
        <f t="shared" si="59"/>
        <v>69</v>
      </c>
      <c r="AB109" s="506">
        <f t="shared" si="59"/>
        <v>65</v>
      </c>
      <c r="AC109" s="506">
        <f t="shared" si="59"/>
        <v>66</v>
      </c>
      <c r="AD109" s="506">
        <f t="shared" si="59"/>
        <v>69</v>
      </c>
      <c r="AE109" s="506">
        <f t="shared" si="59"/>
        <v>71</v>
      </c>
      <c r="AF109" s="506">
        <f t="shared" si="59"/>
        <v>67</v>
      </c>
      <c r="AG109" s="506">
        <f t="shared" si="59"/>
        <v>69</v>
      </c>
      <c r="AH109" s="506">
        <f t="shared" si="59"/>
        <v>65</v>
      </c>
      <c r="AI109" s="506">
        <f t="shared" si="59"/>
        <v>68</v>
      </c>
      <c r="AJ109" s="506">
        <f t="shared" si="59"/>
        <v>70</v>
      </c>
      <c r="AK109" s="506">
        <f t="shared" si="59"/>
        <v>66</v>
      </c>
      <c r="AL109" s="506">
        <f t="shared" si="59"/>
        <v>68</v>
      </c>
      <c r="AM109" s="427"/>
      <c r="AN109" s="506"/>
      <c r="AO109" s="506"/>
      <c r="AP109" s="506"/>
      <c r="AQ109" s="504"/>
      <c r="AR109" s="504"/>
      <c r="AS109" s="506">
        <v>19</v>
      </c>
      <c r="AT109" s="506" t="s">
        <v>417</v>
      </c>
      <c r="AU109" s="505"/>
      <c r="AV109" s="506">
        <v>6</v>
      </c>
      <c r="AW109" s="427">
        <f t="shared" si="60"/>
        <v>45473</v>
      </c>
      <c r="AX109" s="505"/>
      <c r="AY109" s="506"/>
      <c r="AZ109" s="506"/>
      <c r="BA109" s="426">
        <f>DATE((Q4+1),1,1) - DATE(Q4,1,1)</f>
        <v>366</v>
      </c>
    </row>
    <row r="110" spans="1:53" ht="12.75" hidden="1" customHeight="1">
      <c r="A110" s="505">
        <f t="shared" si="46"/>
        <v>6</v>
      </c>
      <c r="B110" s="423">
        <v>20</v>
      </c>
      <c r="C110" s="424">
        <v>11</v>
      </c>
      <c r="D110" s="424" t="str">
        <f t="shared" si="47"/>
        <v>F</v>
      </c>
      <c r="E110" s="424">
        <v>9</v>
      </c>
      <c r="F110" s="424" t="str">
        <f t="shared" si="48"/>
        <v>B</v>
      </c>
      <c r="G110" s="424">
        <v>11</v>
      </c>
      <c r="H110" s="424" t="str">
        <f t="shared" si="49"/>
        <v>C</v>
      </c>
      <c r="I110" s="424">
        <v>9</v>
      </c>
      <c r="J110" s="424" t="str">
        <f t="shared" si="50"/>
        <v>F</v>
      </c>
      <c r="K110" s="424">
        <v>9</v>
      </c>
      <c r="L110" s="424" t="str">
        <f t="shared" si="51"/>
        <v>A</v>
      </c>
      <c r="M110" s="424">
        <v>7</v>
      </c>
      <c r="N110" s="424" t="str">
        <f t="shared" si="52"/>
        <v>D</v>
      </c>
      <c r="O110" s="424">
        <v>7</v>
      </c>
      <c r="P110" s="424" t="str">
        <f t="shared" si="53"/>
        <v>F</v>
      </c>
      <c r="Q110" s="424">
        <v>5</v>
      </c>
      <c r="R110" s="424" t="str">
        <f t="shared" si="54"/>
        <v>B</v>
      </c>
      <c r="S110" s="424">
        <v>4</v>
      </c>
      <c r="T110" s="424" t="str">
        <f t="shared" si="55"/>
        <v>E</v>
      </c>
      <c r="U110" s="424">
        <v>3</v>
      </c>
      <c r="V110" s="424" t="str">
        <f t="shared" si="56"/>
        <v>G</v>
      </c>
      <c r="W110" s="424">
        <v>2</v>
      </c>
      <c r="X110" s="424" t="str">
        <f t="shared" si="57"/>
        <v>C</v>
      </c>
      <c r="Y110" s="424">
        <v>1</v>
      </c>
      <c r="Z110" s="425" t="str">
        <f t="shared" si="58"/>
        <v>E</v>
      </c>
      <c r="AA110" s="506">
        <f t="shared" si="59"/>
        <v>70</v>
      </c>
      <c r="AB110" s="506">
        <f t="shared" si="59"/>
        <v>66</v>
      </c>
      <c r="AC110" s="506">
        <f t="shared" si="59"/>
        <v>67</v>
      </c>
      <c r="AD110" s="506">
        <f t="shared" si="59"/>
        <v>70</v>
      </c>
      <c r="AE110" s="506">
        <f t="shared" si="59"/>
        <v>65</v>
      </c>
      <c r="AF110" s="506">
        <f t="shared" si="59"/>
        <v>68</v>
      </c>
      <c r="AG110" s="506">
        <f t="shared" si="59"/>
        <v>70</v>
      </c>
      <c r="AH110" s="506">
        <f t="shared" si="59"/>
        <v>66</v>
      </c>
      <c r="AI110" s="506">
        <f t="shared" si="59"/>
        <v>69</v>
      </c>
      <c r="AJ110" s="506">
        <f t="shared" si="59"/>
        <v>71</v>
      </c>
      <c r="AK110" s="506">
        <f t="shared" si="59"/>
        <v>67</v>
      </c>
      <c r="AL110" s="506">
        <f t="shared" si="59"/>
        <v>69</v>
      </c>
      <c r="AM110" s="427"/>
      <c r="AN110" s="506"/>
      <c r="AO110" s="506"/>
      <c r="AP110" s="506"/>
      <c r="AQ110" s="504"/>
      <c r="AR110" s="504"/>
      <c r="AS110" s="506">
        <v>20</v>
      </c>
      <c r="AT110" s="506" t="s">
        <v>230</v>
      </c>
      <c r="AU110" s="505"/>
      <c r="AV110" s="506">
        <v>7</v>
      </c>
      <c r="AW110" s="427">
        <f t="shared" si="60"/>
        <v>45504</v>
      </c>
      <c r="AX110" s="505"/>
      <c r="AY110" s="505"/>
      <c r="AZ110" s="505"/>
      <c r="BA110" s="505"/>
    </row>
    <row r="111" spans="1:53" ht="12.75" hidden="1" customHeight="1">
      <c r="A111" s="505">
        <f t="shared" si="46"/>
        <v>7</v>
      </c>
      <c r="B111" s="423">
        <v>21</v>
      </c>
      <c r="C111" s="424">
        <v>10</v>
      </c>
      <c r="D111" s="424" t="str">
        <f t="shared" si="47"/>
        <v>G</v>
      </c>
      <c r="E111" s="424">
        <v>8</v>
      </c>
      <c r="F111" s="424" t="str">
        <f t="shared" si="48"/>
        <v>C</v>
      </c>
      <c r="G111" s="424">
        <v>10</v>
      </c>
      <c r="H111" s="424" t="str">
        <f t="shared" si="49"/>
        <v>D</v>
      </c>
      <c r="I111" s="424">
        <v>8</v>
      </c>
      <c r="J111" s="424" t="str">
        <f t="shared" si="50"/>
        <v>G</v>
      </c>
      <c r="K111" s="424">
        <v>8</v>
      </c>
      <c r="L111" s="424" t="str">
        <f t="shared" si="51"/>
        <v>B</v>
      </c>
      <c r="M111" s="424">
        <v>6</v>
      </c>
      <c r="N111" s="424" t="str">
        <f t="shared" si="52"/>
        <v>E</v>
      </c>
      <c r="O111" s="424">
        <v>6</v>
      </c>
      <c r="P111" s="424" t="str">
        <f t="shared" si="53"/>
        <v>G</v>
      </c>
      <c r="Q111" s="424">
        <v>4</v>
      </c>
      <c r="R111" s="424" t="str">
        <f t="shared" si="54"/>
        <v>C</v>
      </c>
      <c r="S111" s="424">
        <v>3</v>
      </c>
      <c r="T111" s="424" t="str">
        <f t="shared" si="55"/>
        <v>F</v>
      </c>
      <c r="U111" s="424">
        <v>2</v>
      </c>
      <c r="V111" s="424" t="str">
        <f t="shared" si="56"/>
        <v>A</v>
      </c>
      <c r="W111" s="424">
        <v>1</v>
      </c>
      <c r="X111" s="424" t="str">
        <f t="shared" si="57"/>
        <v>D</v>
      </c>
      <c r="Y111" s="424" t="s">
        <v>611</v>
      </c>
      <c r="Z111" s="425" t="str">
        <f t="shared" si="58"/>
        <v>F</v>
      </c>
      <c r="AA111" s="506">
        <f t="shared" si="59"/>
        <v>71</v>
      </c>
      <c r="AB111" s="506">
        <f t="shared" si="59"/>
        <v>67</v>
      </c>
      <c r="AC111" s="506">
        <f t="shared" si="59"/>
        <v>68</v>
      </c>
      <c r="AD111" s="506">
        <f t="shared" si="59"/>
        <v>71</v>
      </c>
      <c r="AE111" s="506">
        <f t="shared" si="59"/>
        <v>66</v>
      </c>
      <c r="AF111" s="506">
        <f t="shared" si="59"/>
        <v>69</v>
      </c>
      <c r="AG111" s="506">
        <f t="shared" si="59"/>
        <v>71</v>
      </c>
      <c r="AH111" s="506">
        <f t="shared" si="59"/>
        <v>67</v>
      </c>
      <c r="AI111" s="506">
        <f t="shared" si="59"/>
        <v>70</v>
      </c>
      <c r="AJ111" s="506">
        <f t="shared" si="59"/>
        <v>65</v>
      </c>
      <c r="AK111" s="506">
        <f t="shared" si="59"/>
        <v>68</v>
      </c>
      <c r="AL111" s="506">
        <f t="shared" si="59"/>
        <v>70</v>
      </c>
      <c r="AM111" s="427"/>
      <c r="AN111" s="506"/>
      <c r="AO111" s="506"/>
      <c r="AP111" s="506"/>
      <c r="AQ111" s="504"/>
      <c r="AR111" s="504"/>
      <c r="AS111" s="506">
        <v>21</v>
      </c>
      <c r="AT111" s="506" t="s">
        <v>495</v>
      </c>
      <c r="AU111" s="505"/>
      <c r="AV111" s="506">
        <v>8</v>
      </c>
      <c r="AW111" s="427">
        <f t="shared" si="60"/>
        <v>45535</v>
      </c>
      <c r="AX111" s="505"/>
      <c r="AY111" s="505"/>
      <c r="AZ111" s="505"/>
      <c r="BA111" s="505"/>
    </row>
    <row r="112" spans="1:53" ht="12.75" hidden="1" customHeight="1">
      <c r="A112" s="505">
        <f t="shared" si="46"/>
        <v>1</v>
      </c>
      <c r="B112" s="423">
        <v>22</v>
      </c>
      <c r="C112" s="424">
        <v>9</v>
      </c>
      <c r="D112" s="424" t="str">
        <f t="shared" si="47"/>
        <v>A</v>
      </c>
      <c r="E112" s="424">
        <v>7</v>
      </c>
      <c r="F112" s="424" t="str">
        <f t="shared" si="48"/>
        <v>D</v>
      </c>
      <c r="G112" s="424">
        <v>9</v>
      </c>
      <c r="H112" s="424" t="str">
        <f t="shared" si="49"/>
        <v>E</v>
      </c>
      <c r="I112" s="424">
        <v>7</v>
      </c>
      <c r="J112" s="424" t="str">
        <f t="shared" si="50"/>
        <v>A</v>
      </c>
      <c r="K112" s="424">
        <v>7</v>
      </c>
      <c r="L112" s="424" t="str">
        <f t="shared" si="51"/>
        <v>C</v>
      </c>
      <c r="M112" s="424">
        <v>5</v>
      </c>
      <c r="N112" s="424" t="str">
        <f t="shared" si="52"/>
        <v>F</v>
      </c>
      <c r="O112" s="424">
        <v>5</v>
      </c>
      <c r="P112" s="424" t="str">
        <f t="shared" si="53"/>
        <v>A</v>
      </c>
      <c r="Q112" s="424">
        <v>3</v>
      </c>
      <c r="R112" s="424" t="str">
        <f t="shared" si="54"/>
        <v>D</v>
      </c>
      <c r="S112" s="424">
        <v>2</v>
      </c>
      <c r="T112" s="424" t="str">
        <f t="shared" si="55"/>
        <v>G</v>
      </c>
      <c r="U112" s="424">
        <v>1</v>
      </c>
      <c r="V112" s="424" t="str">
        <f t="shared" si="56"/>
        <v>B</v>
      </c>
      <c r="W112" s="424" t="s">
        <v>611</v>
      </c>
      <c r="X112" s="424" t="str">
        <f t="shared" si="57"/>
        <v>E</v>
      </c>
      <c r="Y112" s="424">
        <v>29</v>
      </c>
      <c r="Z112" s="425" t="str">
        <f t="shared" si="58"/>
        <v>G</v>
      </c>
      <c r="AA112" s="506">
        <f t="shared" si="59"/>
        <v>65</v>
      </c>
      <c r="AB112" s="506">
        <f t="shared" si="59"/>
        <v>68</v>
      </c>
      <c r="AC112" s="506">
        <f t="shared" si="59"/>
        <v>69</v>
      </c>
      <c r="AD112" s="506">
        <f t="shared" si="59"/>
        <v>65</v>
      </c>
      <c r="AE112" s="506">
        <f t="shared" si="59"/>
        <v>67</v>
      </c>
      <c r="AF112" s="506">
        <f t="shared" si="59"/>
        <v>70</v>
      </c>
      <c r="AG112" s="506">
        <f t="shared" si="59"/>
        <v>65</v>
      </c>
      <c r="AH112" s="506">
        <f t="shared" si="59"/>
        <v>68</v>
      </c>
      <c r="AI112" s="506">
        <f t="shared" si="59"/>
        <v>71</v>
      </c>
      <c r="AJ112" s="506">
        <f t="shared" si="59"/>
        <v>66</v>
      </c>
      <c r="AK112" s="506">
        <f t="shared" si="59"/>
        <v>69</v>
      </c>
      <c r="AL112" s="506">
        <f t="shared" si="59"/>
        <v>71</v>
      </c>
      <c r="AM112" s="427"/>
      <c r="AN112" s="506"/>
      <c r="AO112" s="506"/>
      <c r="AP112" s="506"/>
      <c r="AQ112" s="504"/>
      <c r="AR112" s="504"/>
      <c r="AS112" s="506">
        <v>22</v>
      </c>
      <c r="AT112" s="506" t="s">
        <v>414</v>
      </c>
      <c r="AU112" s="505"/>
      <c r="AV112" s="506">
        <v>9</v>
      </c>
      <c r="AW112" s="427">
        <f t="shared" si="60"/>
        <v>45565</v>
      </c>
      <c r="AX112" s="505"/>
      <c r="AY112" s="505"/>
      <c r="AZ112" s="505"/>
      <c r="BA112" s="505"/>
    </row>
    <row r="113" spans="1:53" ht="12.75" hidden="1" customHeight="1">
      <c r="A113" s="505">
        <f t="shared" si="46"/>
        <v>2</v>
      </c>
      <c r="B113" s="423">
        <v>23</v>
      </c>
      <c r="C113" s="424">
        <v>8</v>
      </c>
      <c r="D113" s="424" t="str">
        <f t="shared" si="47"/>
        <v>B</v>
      </c>
      <c r="E113" s="424">
        <v>6</v>
      </c>
      <c r="F113" s="424" t="str">
        <f t="shared" si="48"/>
        <v>E</v>
      </c>
      <c r="G113" s="424">
        <v>8</v>
      </c>
      <c r="H113" s="424" t="str">
        <f t="shared" si="49"/>
        <v>F</v>
      </c>
      <c r="I113" s="424">
        <v>6</v>
      </c>
      <c r="J113" s="424" t="str">
        <f t="shared" si="50"/>
        <v>B</v>
      </c>
      <c r="K113" s="424">
        <v>6</v>
      </c>
      <c r="L113" s="424" t="str">
        <f t="shared" si="51"/>
        <v>D</v>
      </c>
      <c r="M113" s="424">
        <v>4</v>
      </c>
      <c r="N113" s="424" t="str">
        <f t="shared" si="52"/>
        <v>G</v>
      </c>
      <c r="O113" s="424">
        <v>4</v>
      </c>
      <c r="P113" s="424" t="str">
        <f t="shared" si="53"/>
        <v>B</v>
      </c>
      <c r="Q113" s="424">
        <v>2</v>
      </c>
      <c r="R113" s="424" t="str">
        <f t="shared" si="54"/>
        <v>E</v>
      </c>
      <c r="S113" s="424">
        <v>1</v>
      </c>
      <c r="T113" s="424" t="str">
        <f t="shared" si="55"/>
        <v>A</v>
      </c>
      <c r="U113" s="424" t="s">
        <v>611</v>
      </c>
      <c r="V113" s="424" t="str">
        <f t="shared" si="56"/>
        <v>C</v>
      </c>
      <c r="W113" s="424">
        <v>29</v>
      </c>
      <c r="X113" s="424" t="str">
        <f t="shared" si="57"/>
        <v>F</v>
      </c>
      <c r="Y113" s="424">
        <v>28</v>
      </c>
      <c r="Z113" s="425" t="str">
        <f t="shared" si="58"/>
        <v>A</v>
      </c>
      <c r="AA113" s="506">
        <f t="shared" si="59"/>
        <v>66</v>
      </c>
      <c r="AB113" s="506">
        <f t="shared" si="59"/>
        <v>69</v>
      </c>
      <c r="AC113" s="506">
        <f t="shared" si="59"/>
        <v>70</v>
      </c>
      <c r="AD113" s="506">
        <f t="shared" ref="AD113:AL121" si="61">IF(AD112=71,AD112+1-7,AD112+1)</f>
        <v>66</v>
      </c>
      <c r="AE113" s="506">
        <f t="shared" si="61"/>
        <v>68</v>
      </c>
      <c r="AF113" s="506">
        <f t="shared" si="61"/>
        <v>71</v>
      </c>
      <c r="AG113" s="506">
        <f t="shared" si="61"/>
        <v>66</v>
      </c>
      <c r="AH113" s="506">
        <f t="shared" si="61"/>
        <v>69</v>
      </c>
      <c r="AI113" s="506">
        <f t="shared" si="61"/>
        <v>65</v>
      </c>
      <c r="AJ113" s="506">
        <f t="shared" si="61"/>
        <v>67</v>
      </c>
      <c r="AK113" s="506">
        <f t="shared" si="61"/>
        <v>70</v>
      </c>
      <c r="AL113" s="506">
        <f t="shared" si="61"/>
        <v>65</v>
      </c>
      <c r="AM113" s="427"/>
      <c r="AN113" s="506"/>
      <c r="AO113" s="506"/>
      <c r="AP113" s="506"/>
      <c r="AQ113" s="504"/>
      <c r="AR113" s="504"/>
      <c r="AS113" s="506">
        <v>23</v>
      </c>
      <c r="AT113" s="506" t="s">
        <v>586</v>
      </c>
      <c r="AU113" s="505"/>
      <c r="AV113" s="506">
        <v>10</v>
      </c>
      <c r="AW113" s="427">
        <f t="shared" si="60"/>
        <v>45596</v>
      </c>
      <c r="AX113" s="505"/>
      <c r="AY113" s="505"/>
      <c r="AZ113" s="505"/>
      <c r="BA113" s="505"/>
    </row>
    <row r="114" spans="1:53" ht="12.75" hidden="1" customHeight="1">
      <c r="A114" s="505">
        <f t="shared" si="46"/>
        <v>3</v>
      </c>
      <c r="B114" s="423">
        <v>24</v>
      </c>
      <c r="C114" s="424">
        <v>7</v>
      </c>
      <c r="D114" s="424" t="str">
        <f t="shared" si="47"/>
        <v>C</v>
      </c>
      <c r="E114" s="424">
        <v>5</v>
      </c>
      <c r="F114" s="424" t="str">
        <f t="shared" si="48"/>
        <v>F</v>
      </c>
      <c r="G114" s="424">
        <v>7</v>
      </c>
      <c r="H114" s="424" t="str">
        <f t="shared" si="49"/>
        <v>G</v>
      </c>
      <c r="I114" s="424">
        <v>5</v>
      </c>
      <c r="J114" s="424" t="str">
        <f t="shared" si="50"/>
        <v>C</v>
      </c>
      <c r="K114" s="424">
        <v>5</v>
      </c>
      <c r="L114" s="424" t="str">
        <f t="shared" si="51"/>
        <v>E</v>
      </c>
      <c r="M114" s="424">
        <v>3</v>
      </c>
      <c r="N114" s="424" t="str">
        <f t="shared" si="52"/>
        <v>A</v>
      </c>
      <c r="O114" s="424">
        <v>3</v>
      </c>
      <c r="P114" s="424" t="str">
        <f t="shared" si="53"/>
        <v>C</v>
      </c>
      <c r="Q114" s="424">
        <v>1</v>
      </c>
      <c r="R114" s="424" t="str">
        <f t="shared" si="54"/>
        <v>F</v>
      </c>
      <c r="S114" s="424" t="s">
        <v>611</v>
      </c>
      <c r="T114" s="424" t="str">
        <f t="shared" si="55"/>
        <v>B</v>
      </c>
      <c r="U114" s="424">
        <v>29</v>
      </c>
      <c r="V114" s="424" t="str">
        <f t="shared" si="56"/>
        <v>D</v>
      </c>
      <c r="W114" s="424">
        <v>28</v>
      </c>
      <c r="X114" s="424" t="str">
        <f t="shared" si="57"/>
        <v>G</v>
      </c>
      <c r="Y114" s="424">
        <v>27</v>
      </c>
      <c r="Z114" s="425" t="str">
        <f t="shared" si="58"/>
        <v>B</v>
      </c>
      <c r="AA114" s="506">
        <f t="shared" ref="AA114:AC121" si="62">IF(AA113=71,AA113+1-7,AA113+1)</f>
        <v>67</v>
      </c>
      <c r="AB114" s="506">
        <f t="shared" si="62"/>
        <v>70</v>
      </c>
      <c r="AC114" s="506">
        <f t="shared" si="62"/>
        <v>71</v>
      </c>
      <c r="AD114" s="506">
        <f t="shared" si="61"/>
        <v>67</v>
      </c>
      <c r="AE114" s="506">
        <f t="shared" si="61"/>
        <v>69</v>
      </c>
      <c r="AF114" s="506">
        <f t="shared" si="61"/>
        <v>65</v>
      </c>
      <c r="AG114" s="506">
        <f t="shared" si="61"/>
        <v>67</v>
      </c>
      <c r="AH114" s="506">
        <f t="shared" si="61"/>
        <v>70</v>
      </c>
      <c r="AI114" s="506">
        <f t="shared" si="61"/>
        <v>66</v>
      </c>
      <c r="AJ114" s="506">
        <f t="shared" si="61"/>
        <v>68</v>
      </c>
      <c r="AK114" s="506">
        <f t="shared" si="61"/>
        <v>71</v>
      </c>
      <c r="AL114" s="506">
        <f t="shared" si="61"/>
        <v>66</v>
      </c>
      <c r="AM114" s="427"/>
      <c r="AN114" s="506"/>
      <c r="AO114" s="506"/>
      <c r="AP114" s="506"/>
      <c r="AQ114" s="504"/>
      <c r="AR114" s="504"/>
      <c r="AS114" s="506">
        <v>24</v>
      </c>
      <c r="AT114" s="506" t="s">
        <v>418</v>
      </c>
      <c r="AU114" s="505"/>
      <c r="AV114" s="506">
        <v>11</v>
      </c>
      <c r="AW114" s="427">
        <f t="shared" si="60"/>
        <v>45626</v>
      </c>
      <c r="AX114" s="505"/>
      <c r="AY114" s="505"/>
      <c r="AZ114" s="505"/>
      <c r="BA114" s="505"/>
    </row>
    <row r="115" spans="1:53" ht="12.75" hidden="1" customHeight="1">
      <c r="A115" s="505">
        <f t="shared" si="46"/>
        <v>4</v>
      </c>
      <c r="B115" s="423">
        <v>25</v>
      </c>
      <c r="C115" s="424">
        <v>6</v>
      </c>
      <c r="D115" s="424" t="str">
        <f t="shared" si="47"/>
        <v>D</v>
      </c>
      <c r="E115" s="424">
        <v>4</v>
      </c>
      <c r="F115" s="424" t="str">
        <f t="shared" si="48"/>
        <v>G</v>
      </c>
      <c r="G115" s="424">
        <v>6</v>
      </c>
      <c r="H115" s="424" t="str">
        <f t="shared" si="49"/>
        <v>A</v>
      </c>
      <c r="I115" s="424">
        <v>4</v>
      </c>
      <c r="J115" s="424" t="str">
        <f t="shared" si="50"/>
        <v>D</v>
      </c>
      <c r="K115" s="424">
        <v>4</v>
      </c>
      <c r="L115" s="424" t="str">
        <f t="shared" si="51"/>
        <v>F</v>
      </c>
      <c r="M115" s="424">
        <v>2</v>
      </c>
      <c r="N115" s="424" t="str">
        <f t="shared" si="52"/>
        <v>B</v>
      </c>
      <c r="O115" s="424">
        <v>2</v>
      </c>
      <c r="P115" s="424" t="str">
        <f t="shared" si="53"/>
        <v>D</v>
      </c>
      <c r="Q115" s="424" t="s">
        <v>611</v>
      </c>
      <c r="R115" s="424" t="str">
        <f t="shared" si="54"/>
        <v>G</v>
      </c>
      <c r="S115" s="424">
        <v>29</v>
      </c>
      <c r="T115" s="424" t="str">
        <f t="shared" si="55"/>
        <v>C</v>
      </c>
      <c r="U115" s="424">
        <v>28</v>
      </c>
      <c r="V115" s="424" t="str">
        <f t="shared" si="56"/>
        <v>E</v>
      </c>
      <c r="W115" s="424">
        <v>27</v>
      </c>
      <c r="X115" s="424" t="str">
        <f t="shared" si="57"/>
        <v>A</v>
      </c>
      <c r="Y115" s="424">
        <v>26</v>
      </c>
      <c r="Z115" s="425" t="str">
        <f t="shared" si="58"/>
        <v>C</v>
      </c>
      <c r="AA115" s="506">
        <f t="shared" si="62"/>
        <v>68</v>
      </c>
      <c r="AB115" s="506">
        <f t="shared" si="62"/>
        <v>71</v>
      </c>
      <c r="AC115" s="506">
        <f t="shared" si="62"/>
        <v>65</v>
      </c>
      <c r="AD115" s="506">
        <f t="shared" si="61"/>
        <v>68</v>
      </c>
      <c r="AE115" s="506">
        <f t="shared" si="61"/>
        <v>70</v>
      </c>
      <c r="AF115" s="506">
        <f t="shared" si="61"/>
        <v>66</v>
      </c>
      <c r="AG115" s="506">
        <f t="shared" si="61"/>
        <v>68</v>
      </c>
      <c r="AH115" s="506">
        <f t="shared" si="61"/>
        <v>71</v>
      </c>
      <c r="AI115" s="506">
        <f t="shared" si="61"/>
        <v>67</v>
      </c>
      <c r="AJ115" s="506">
        <f t="shared" si="61"/>
        <v>69</v>
      </c>
      <c r="AK115" s="506">
        <f t="shared" si="61"/>
        <v>65</v>
      </c>
      <c r="AL115" s="506">
        <f t="shared" si="61"/>
        <v>67</v>
      </c>
      <c r="AM115" s="427"/>
      <c r="AN115" s="506"/>
      <c r="AO115" s="392"/>
      <c r="AP115" s="506"/>
      <c r="AQ115" s="504"/>
      <c r="AR115" s="504"/>
      <c r="AS115" s="506">
        <v>25</v>
      </c>
      <c r="AT115" s="506" t="s">
        <v>497</v>
      </c>
      <c r="AU115" s="505"/>
      <c r="AV115" s="506">
        <v>12</v>
      </c>
      <c r="AW115" s="427">
        <f t="shared" si="60"/>
        <v>45657</v>
      </c>
      <c r="AX115" s="505"/>
      <c r="AY115" s="505"/>
      <c r="AZ115" s="505"/>
      <c r="BA115" s="505"/>
    </row>
    <row r="116" spans="1:53" ht="12.75" hidden="1" customHeight="1">
      <c r="A116" s="505">
        <f t="shared" si="46"/>
        <v>5</v>
      </c>
      <c r="B116" s="423">
        <v>26</v>
      </c>
      <c r="C116" s="424">
        <v>5</v>
      </c>
      <c r="D116" s="424" t="str">
        <f t="shared" si="47"/>
        <v>E</v>
      </c>
      <c r="E116" s="424">
        <v>3</v>
      </c>
      <c r="F116" s="424" t="str">
        <f t="shared" si="48"/>
        <v>A</v>
      </c>
      <c r="G116" s="424">
        <v>5</v>
      </c>
      <c r="H116" s="424" t="str">
        <f t="shared" si="49"/>
        <v>B</v>
      </c>
      <c r="I116" s="424">
        <v>3</v>
      </c>
      <c r="J116" s="424" t="str">
        <f t="shared" si="50"/>
        <v>E</v>
      </c>
      <c r="K116" s="424">
        <v>3</v>
      </c>
      <c r="L116" s="424" t="str">
        <f t="shared" si="51"/>
        <v>G</v>
      </c>
      <c r="M116" s="424">
        <v>1</v>
      </c>
      <c r="N116" s="424" t="str">
        <f t="shared" si="52"/>
        <v>C</v>
      </c>
      <c r="O116" s="424">
        <v>1</v>
      </c>
      <c r="P116" s="424" t="str">
        <f t="shared" si="53"/>
        <v>E</v>
      </c>
      <c r="Q116" s="424">
        <v>29</v>
      </c>
      <c r="R116" s="424" t="str">
        <f t="shared" si="54"/>
        <v>A</v>
      </c>
      <c r="S116" s="424">
        <v>28</v>
      </c>
      <c r="T116" s="424" t="str">
        <f t="shared" si="55"/>
        <v>D</v>
      </c>
      <c r="U116" s="424">
        <v>27</v>
      </c>
      <c r="V116" s="424" t="str">
        <f t="shared" si="56"/>
        <v>F</v>
      </c>
      <c r="W116" s="424" t="s">
        <v>612</v>
      </c>
      <c r="X116" s="424" t="str">
        <f t="shared" si="57"/>
        <v>B</v>
      </c>
      <c r="Y116" s="424" t="s">
        <v>612</v>
      </c>
      <c r="Z116" s="425" t="str">
        <f t="shared" si="58"/>
        <v>D</v>
      </c>
      <c r="AA116" s="506">
        <f t="shared" si="62"/>
        <v>69</v>
      </c>
      <c r="AB116" s="506">
        <f t="shared" si="62"/>
        <v>65</v>
      </c>
      <c r="AC116" s="506">
        <f t="shared" si="62"/>
        <v>66</v>
      </c>
      <c r="AD116" s="506">
        <f t="shared" si="61"/>
        <v>69</v>
      </c>
      <c r="AE116" s="506">
        <f t="shared" si="61"/>
        <v>71</v>
      </c>
      <c r="AF116" s="506">
        <f t="shared" si="61"/>
        <v>67</v>
      </c>
      <c r="AG116" s="506">
        <f t="shared" si="61"/>
        <v>69</v>
      </c>
      <c r="AH116" s="506">
        <f t="shared" si="61"/>
        <v>65</v>
      </c>
      <c r="AI116" s="506">
        <f t="shared" si="61"/>
        <v>68</v>
      </c>
      <c r="AJ116" s="506">
        <f t="shared" si="61"/>
        <v>70</v>
      </c>
      <c r="AK116" s="506">
        <f t="shared" si="61"/>
        <v>66</v>
      </c>
      <c r="AL116" s="506">
        <f t="shared" si="61"/>
        <v>68</v>
      </c>
      <c r="AM116" s="427"/>
      <c r="AN116" s="506"/>
      <c r="AO116" s="392"/>
      <c r="AP116" s="506"/>
      <c r="AQ116" s="504"/>
      <c r="AR116" s="504"/>
      <c r="AS116" s="506">
        <v>26</v>
      </c>
      <c r="AT116" s="506" t="s">
        <v>416</v>
      </c>
      <c r="AU116" s="505"/>
    </row>
    <row r="117" spans="1:53" ht="12.75" hidden="1" customHeight="1">
      <c r="A117" s="505">
        <f t="shared" si="46"/>
        <v>6</v>
      </c>
      <c r="B117" s="423">
        <v>27</v>
      </c>
      <c r="C117" s="424">
        <v>4</v>
      </c>
      <c r="D117" s="424" t="str">
        <f t="shared" si="47"/>
        <v>F</v>
      </c>
      <c r="E117" s="424">
        <v>2</v>
      </c>
      <c r="F117" s="424" t="str">
        <f t="shared" si="48"/>
        <v>B</v>
      </c>
      <c r="G117" s="424">
        <v>4</v>
      </c>
      <c r="H117" s="424" t="str">
        <f t="shared" si="49"/>
        <v>C</v>
      </c>
      <c r="I117" s="424">
        <v>2</v>
      </c>
      <c r="J117" s="424" t="str">
        <f t="shared" si="50"/>
        <v>F</v>
      </c>
      <c r="K117" s="424">
        <v>2</v>
      </c>
      <c r="L117" s="424" t="str">
        <f t="shared" si="51"/>
        <v>A</v>
      </c>
      <c r="M117" s="424" t="s">
        <v>611</v>
      </c>
      <c r="N117" s="424" t="str">
        <f t="shared" si="52"/>
        <v>D</v>
      </c>
      <c r="O117" s="424" t="s">
        <v>611</v>
      </c>
      <c r="P117" s="424" t="str">
        <f t="shared" si="53"/>
        <v>F</v>
      </c>
      <c r="Q117" s="424">
        <v>28</v>
      </c>
      <c r="R117" s="424" t="str">
        <f t="shared" si="54"/>
        <v>B</v>
      </c>
      <c r="S117" s="424">
        <v>27</v>
      </c>
      <c r="T117" s="424" t="str">
        <f t="shared" si="55"/>
        <v>E</v>
      </c>
      <c r="U117" s="424">
        <v>26</v>
      </c>
      <c r="V117" s="424" t="str">
        <f t="shared" si="56"/>
        <v>G</v>
      </c>
      <c r="W117" s="424" t="s">
        <v>613</v>
      </c>
      <c r="X117" s="424" t="str">
        <f t="shared" si="57"/>
        <v>C</v>
      </c>
      <c r="Y117" s="424">
        <v>24</v>
      </c>
      <c r="Z117" s="425" t="str">
        <f t="shared" si="58"/>
        <v>E</v>
      </c>
      <c r="AA117" s="506">
        <f t="shared" si="62"/>
        <v>70</v>
      </c>
      <c r="AB117" s="506">
        <f t="shared" si="62"/>
        <v>66</v>
      </c>
      <c r="AC117" s="506">
        <f t="shared" si="62"/>
        <v>67</v>
      </c>
      <c r="AD117" s="506">
        <f t="shared" si="61"/>
        <v>70</v>
      </c>
      <c r="AE117" s="506">
        <f t="shared" si="61"/>
        <v>65</v>
      </c>
      <c r="AF117" s="506">
        <f t="shared" si="61"/>
        <v>68</v>
      </c>
      <c r="AG117" s="506">
        <f t="shared" si="61"/>
        <v>70</v>
      </c>
      <c r="AH117" s="506">
        <f t="shared" si="61"/>
        <v>66</v>
      </c>
      <c r="AI117" s="506">
        <f t="shared" si="61"/>
        <v>69</v>
      </c>
      <c r="AJ117" s="506">
        <f t="shared" si="61"/>
        <v>71</v>
      </c>
      <c r="AK117" s="506">
        <f t="shared" si="61"/>
        <v>67</v>
      </c>
      <c r="AL117" s="506">
        <f t="shared" si="61"/>
        <v>69</v>
      </c>
      <c r="AM117" s="427"/>
      <c r="AN117" s="506"/>
      <c r="AO117" s="392"/>
      <c r="AP117" s="506"/>
      <c r="AQ117" s="504"/>
      <c r="AR117" s="504"/>
      <c r="AS117" s="506">
        <v>27</v>
      </c>
      <c r="AT117" s="506" t="s">
        <v>590</v>
      </c>
      <c r="AU117" s="505"/>
    </row>
    <row r="118" spans="1:53" ht="12.75" hidden="1" customHeight="1">
      <c r="A118" s="505">
        <f t="shared" si="46"/>
        <v>7</v>
      </c>
      <c r="B118" s="423">
        <v>28</v>
      </c>
      <c r="C118" s="424">
        <v>3</v>
      </c>
      <c r="D118" s="424" t="str">
        <f t="shared" si="47"/>
        <v>G</v>
      </c>
      <c r="E118" s="424">
        <v>1</v>
      </c>
      <c r="F118" s="424" t="str">
        <f t="shared" si="48"/>
        <v>C</v>
      </c>
      <c r="G118" s="424">
        <v>3</v>
      </c>
      <c r="H118" s="424" t="str">
        <f t="shared" si="49"/>
        <v>D</v>
      </c>
      <c r="I118" s="424">
        <v>1</v>
      </c>
      <c r="J118" s="424" t="str">
        <f t="shared" si="50"/>
        <v>G</v>
      </c>
      <c r="K118" s="424">
        <v>1</v>
      </c>
      <c r="L118" s="424" t="str">
        <f t="shared" si="51"/>
        <v>B</v>
      </c>
      <c r="M118" s="424">
        <v>29</v>
      </c>
      <c r="N118" s="424" t="str">
        <f t="shared" si="52"/>
        <v>E</v>
      </c>
      <c r="O118" s="424">
        <v>29</v>
      </c>
      <c r="P118" s="424" t="str">
        <f t="shared" si="53"/>
        <v>G</v>
      </c>
      <c r="Q118" s="424">
        <v>27</v>
      </c>
      <c r="R118" s="424" t="str">
        <f t="shared" si="54"/>
        <v>C</v>
      </c>
      <c r="S118" s="424" t="s">
        <v>614</v>
      </c>
      <c r="T118" s="424" t="str">
        <f t="shared" si="55"/>
        <v>F</v>
      </c>
      <c r="U118" s="424" t="s">
        <v>612</v>
      </c>
      <c r="V118" s="424" t="str">
        <f t="shared" si="56"/>
        <v>A</v>
      </c>
      <c r="W118" s="424">
        <v>23</v>
      </c>
      <c r="X118" s="424" t="str">
        <f t="shared" si="57"/>
        <v>D</v>
      </c>
      <c r="Y118" s="424">
        <v>23</v>
      </c>
      <c r="Z118" s="425" t="str">
        <f t="shared" si="58"/>
        <v>F</v>
      </c>
      <c r="AA118" s="506">
        <f t="shared" si="62"/>
        <v>71</v>
      </c>
      <c r="AB118" s="506">
        <f t="shared" si="62"/>
        <v>67</v>
      </c>
      <c r="AC118" s="506">
        <f t="shared" si="62"/>
        <v>68</v>
      </c>
      <c r="AD118" s="506">
        <f t="shared" si="61"/>
        <v>71</v>
      </c>
      <c r="AE118" s="506">
        <f t="shared" si="61"/>
        <v>66</v>
      </c>
      <c r="AF118" s="506">
        <f t="shared" si="61"/>
        <v>69</v>
      </c>
      <c r="AG118" s="506">
        <f t="shared" si="61"/>
        <v>71</v>
      </c>
      <c r="AH118" s="506">
        <f t="shared" si="61"/>
        <v>67</v>
      </c>
      <c r="AI118" s="506">
        <f t="shared" si="61"/>
        <v>70</v>
      </c>
      <c r="AJ118" s="506">
        <f t="shared" si="61"/>
        <v>65</v>
      </c>
      <c r="AK118" s="506">
        <f t="shared" si="61"/>
        <v>68</v>
      </c>
      <c r="AL118" s="506">
        <f t="shared" si="61"/>
        <v>70</v>
      </c>
      <c r="AM118" s="427"/>
      <c r="AN118" s="506"/>
      <c r="AO118" s="392"/>
      <c r="AP118" s="506"/>
      <c r="AQ118" s="504"/>
      <c r="AR118" s="504"/>
      <c r="AS118" s="506">
        <v>28</v>
      </c>
      <c r="AT118" s="506" t="s">
        <v>414</v>
      </c>
      <c r="AU118" s="505"/>
    </row>
    <row r="119" spans="1:53" ht="12.75" hidden="1" customHeight="1">
      <c r="A119" s="505">
        <f t="shared" si="46"/>
        <v>1</v>
      </c>
      <c r="B119" s="423">
        <v>29</v>
      </c>
      <c r="C119" s="424">
        <v>2</v>
      </c>
      <c r="D119" s="424" t="str">
        <f t="shared" si="47"/>
        <v>A</v>
      </c>
      <c r="E119" s="424" t="str">
        <f>IF(F119&lt;&gt;"","*","")</f>
        <v>*</v>
      </c>
      <c r="F119" s="424" t="str">
        <f t="shared" si="48"/>
        <v>D</v>
      </c>
      <c r="G119" s="424">
        <v>2</v>
      </c>
      <c r="H119" s="424" t="str">
        <f t="shared" si="49"/>
        <v>E</v>
      </c>
      <c r="I119" s="424" t="s">
        <v>611</v>
      </c>
      <c r="J119" s="424" t="str">
        <f t="shared" si="50"/>
        <v>A</v>
      </c>
      <c r="K119" s="424" t="s">
        <v>611</v>
      </c>
      <c r="L119" s="424" t="str">
        <f t="shared" si="51"/>
        <v>C</v>
      </c>
      <c r="M119" s="424">
        <v>28</v>
      </c>
      <c r="N119" s="424" t="str">
        <f t="shared" si="52"/>
        <v>F</v>
      </c>
      <c r="O119" s="424">
        <v>28</v>
      </c>
      <c r="P119" s="424" t="str">
        <f t="shared" si="53"/>
        <v>A</v>
      </c>
      <c r="Q119" s="424">
        <v>26</v>
      </c>
      <c r="R119" s="424" t="str">
        <f t="shared" si="54"/>
        <v>D</v>
      </c>
      <c r="S119" s="424" t="s">
        <v>612</v>
      </c>
      <c r="T119" s="424" t="str">
        <f t="shared" si="55"/>
        <v>G</v>
      </c>
      <c r="U119" s="424">
        <v>24</v>
      </c>
      <c r="V119" s="424" t="str">
        <f t="shared" si="56"/>
        <v>B</v>
      </c>
      <c r="W119" s="424">
        <v>22</v>
      </c>
      <c r="X119" s="424" t="str">
        <f t="shared" si="57"/>
        <v>E</v>
      </c>
      <c r="Y119" s="424">
        <v>22</v>
      </c>
      <c r="Z119" s="425" t="str">
        <f t="shared" si="58"/>
        <v>G</v>
      </c>
      <c r="AA119" s="506">
        <f t="shared" si="62"/>
        <v>65</v>
      </c>
      <c r="AB119" s="506">
        <f>IF(BA104=1,AB118+1,AB118)</f>
        <v>68</v>
      </c>
      <c r="AC119" s="506">
        <f t="shared" si="62"/>
        <v>69</v>
      </c>
      <c r="AD119" s="506">
        <f t="shared" si="61"/>
        <v>65</v>
      </c>
      <c r="AE119" s="506">
        <f t="shared" si="61"/>
        <v>67</v>
      </c>
      <c r="AF119" s="506">
        <f t="shared" si="61"/>
        <v>70</v>
      </c>
      <c r="AG119" s="506">
        <f t="shared" si="61"/>
        <v>65</v>
      </c>
      <c r="AH119" s="506">
        <f t="shared" si="61"/>
        <v>68</v>
      </c>
      <c r="AI119" s="506">
        <f t="shared" si="61"/>
        <v>71</v>
      </c>
      <c r="AJ119" s="506">
        <f t="shared" si="61"/>
        <v>66</v>
      </c>
      <c r="AK119" s="506">
        <f t="shared" si="61"/>
        <v>69</v>
      </c>
      <c r="AL119" s="506">
        <f t="shared" si="61"/>
        <v>71</v>
      </c>
      <c r="AM119" s="506"/>
      <c r="AN119" s="506"/>
      <c r="AO119" s="392"/>
      <c r="AP119" s="506"/>
      <c r="AQ119" s="504"/>
      <c r="AR119" s="504"/>
    </row>
    <row r="120" spans="1:53" ht="12.75" hidden="1" customHeight="1">
      <c r="A120" s="505">
        <f t="shared" si="46"/>
        <v>2</v>
      </c>
      <c r="B120" s="423">
        <v>30</v>
      </c>
      <c r="C120" s="424">
        <v>1</v>
      </c>
      <c r="D120" s="424" t="str">
        <f t="shared" si="47"/>
        <v>B</v>
      </c>
      <c r="E120" s="424"/>
      <c r="F120" s="424"/>
      <c r="G120" s="424">
        <v>1</v>
      </c>
      <c r="H120" s="424" t="str">
        <f t="shared" si="49"/>
        <v>F</v>
      </c>
      <c r="I120" s="424">
        <v>29</v>
      </c>
      <c r="J120" s="424" t="str">
        <f t="shared" si="50"/>
        <v>B</v>
      </c>
      <c r="K120" s="424">
        <v>29</v>
      </c>
      <c r="L120" s="424" t="str">
        <f t="shared" si="51"/>
        <v>D</v>
      </c>
      <c r="M120" s="424">
        <v>27</v>
      </c>
      <c r="N120" s="424" t="str">
        <f t="shared" si="52"/>
        <v>G</v>
      </c>
      <c r="O120" s="424">
        <v>27</v>
      </c>
      <c r="P120" s="424" t="str">
        <f t="shared" si="53"/>
        <v>B</v>
      </c>
      <c r="Q120" s="424" t="s">
        <v>612</v>
      </c>
      <c r="R120" s="424" t="str">
        <f t="shared" si="54"/>
        <v>E</v>
      </c>
      <c r="S120" s="424">
        <v>23</v>
      </c>
      <c r="T120" s="424" t="str">
        <f t="shared" si="55"/>
        <v>A</v>
      </c>
      <c r="U120" s="424">
        <v>23</v>
      </c>
      <c r="V120" s="424" t="str">
        <f t="shared" si="56"/>
        <v>C</v>
      </c>
      <c r="W120" s="424">
        <v>21</v>
      </c>
      <c r="X120" s="424" t="str">
        <f t="shared" si="57"/>
        <v>F</v>
      </c>
      <c r="Y120" s="428">
        <v>21</v>
      </c>
      <c r="Z120" s="425" t="str">
        <f t="shared" si="58"/>
        <v>A</v>
      </c>
      <c r="AA120" s="506">
        <f t="shared" si="62"/>
        <v>66</v>
      </c>
      <c r="AB120" s="506"/>
      <c r="AC120" s="506">
        <f t="shared" si="62"/>
        <v>70</v>
      </c>
      <c r="AD120" s="506">
        <f t="shared" si="61"/>
        <v>66</v>
      </c>
      <c r="AE120" s="506">
        <f t="shared" si="61"/>
        <v>68</v>
      </c>
      <c r="AF120" s="506">
        <f t="shared" si="61"/>
        <v>71</v>
      </c>
      <c r="AG120" s="506">
        <f t="shared" si="61"/>
        <v>66</v>
      </c>
      <c r="AH120" s="506">
        <f t="shared" si="61"/>
        <v>69</v>
      </c>
      <c r="AI120" s="506">
        <f t="shared" si="61"/>
        <v>65</v>
      </c>
      <c r="AJ120" s="506">
        <f t="shared" si="61"/>
        <v>67</v>
      </c>
      <c r="AK120" s="506">
        <f t="shared" si="61"/>
        <v>70</v>
      </c>
      <c r="AL120" s="506">
        <f t="shared" si="61"/>
        <v>65</v>
      </c>
      <c r="AM120" s="506"/>
      <c r="AN120" s="506"/>
      <c r="AO120" s="392"/>
      <c r="AP120" s="506"/>
      <c r="AQ120" s="504"/>
      <c r="AR120" s="504"/>
    </row>
    <row r="121" spans="1:53" ht="12.75" hidden="1" customHeight="1" thickBot="1">
      <c r="A121" s="505">
        <f t="shared" si="46"/>
        <v>3</v>
      </c>
      <c r="B121" s="429">
        <v>31</v>
      </c>
      <c r="C121" s="430" t="s">
        <v>611</v>
      </c>
      <c r="D121" s="430" t="str">
        <f t="shared" si="47"/>
        <v>C</v>
      </c>
      <c r="E121" s="430"/>
      <c r="F121" s="430"/>
      <c r="G121" s="430" t="s">
        <v>611</v>
      </c>
      <c r="H121" s="430" t="str">
        <f t="shared" si="49"/>
        <v>G</v>
      </c>
      <c r="I121" s="430"/>
      <c r="J121" s="430"/>
      <c r="K121" s="430">
        <v>28</v>
      </c>
      <c r="L121" s="430" t="str">
        <f t="shared" si="51"/>
        <v>E</v>
      </c>
      <c r="M121" s="430"/>
      <c r="N121" s="430"/>
      <c r="O121" s="430">
        <v>26</v>
      </c>
      <c r="P121" s="430" t="str">
        <f t="shared" si="53"/>
        <v>C</v>
      </c>
      <c r="Q121" s="430"/>
      <c r="R121" s="430" t="str">
        <f t="shared" si="54"/>
        <v>F</v>
      </c>
      <c r="S121" s="430"/>
      <c r="T121" s="430"/>
      <c r="U121" s="430">
        <v>22</v>
      </c>
      <c r="V121" s="430" t="str">
        <f t="shared" si="56"/>
        <v>D</v>
      </c>
      <c r="W121" s="430"/>
      <c r="X121" s="430"/>
      <c r="Y121" s="431" t="s">
        <v>616</v>
      </c>
      <c r="Z121" s="530" t="str">
        <f t="shared" si="58"/>
        <v>B</v>
      </c>
      <c r="AA121" s="506">
        <f t="shared" si="62"/>
        <v>67</v>
      </c>
      <c r="AB121" s="506"/>
      <c r="AC121" s="506">
        <f t="shared" si="62"/>
        <v>71</v>
      </c>
      <c r="AD121" s="506"/>
      <c r="AE121" s="506">
        <f t="shared" si="61"/>
        <v>69</v>
      </c>
      <c r="AF121" s="506"/>
      <c r="AG121" s="506">
        <f t="shared" si="61"/>
        <v>67</v>
      </c>
      <c r="AH121" s="506">
        <f t="shared" si="61"/>
        <v>70</v>
      </c>
      <c r="AI121" s="506"/>
      <c r="AJ121" s="506">
        <f t="shared" si="61"/>
        <v>68</v>
      </c>
      <c r="AK121" s="506"/>
      <c r="AL121" s="506">
        <f t="shared" si="61"/>
        <v>66</v>
      </c>
      <c r="AM121" s="506"/>
      <c r="AN121" s="506"/>
      <c r="AO121" s="392"/>
      <c r="AP121" s="506"/>
      <c r="AQ121" s="504"/>
      <c r="AR121" s="504"/>
    </row>
    <row r="122" spans="1:53" ht="12.75" hidden="1" customHeight="1" thickTop="1">
      <c r="Y122" s="415" t="e">
        <f>IF($S126=Y125,Y123,Z122)</f>
        <v>#N/A</v>
      </c>
      <c r="Z122" s="415" t="e">
        <f t="shared" ref="Z122:AD122" si="63">IF($S126=Z125,Z123,AA122)</f>
        <v>#N/A</v>
      </c>
      <c r="AA122" s="415" t="e">
        <f t="shared" si="63"/>
        <v>#N/A</v>
      </c>
      <c r="AB122" s="415" t="e">
        <f t="shared" si="63"/>
        <v>#N/A</v>
      </c>
      <c r="AC122" s="415" t="e">
        <f t="shared" si="63"/>
        <v>#N/A</v>
      </c>
      <c r="AD122" s="415" t="e">
        <f t="shared" si="63"/>
        <v>#N/A</v>
      </c>
      <c r="AE122" s="415" t="e">
        <f>IF($S126=AE125,AE123,Y122)</f>
        <v>#N/A</v>
      </c>
      <c r="AO122" s="392"/>
    </row>
    <row r="123" spans="1:53" ht="12.75" hidden="1" customHeight="1">
      <c r="N123" s="499" t="s">
        <v>761</v>
      </c>
      <c r="Y123" s="427" t="e">
        <f t="shared" ref="Y123:Z123" si="64">VLOOKUP($T$125,$T$126:$AE$144,5+Y125)</f>
        <v>#N/A</v>
      </c>
      <c r="Z123" s="427" t="e">
        <f t="shared" si="64"/>
        <v>#N/A</v>
      </c>
      <c r="AA123" s="427" t="e">
        <f>VLOOKUP($T$125,$T$126:$AE$144,5+AA125)</f>
        <v>#N/A</v>
      </c>
      <c r="AB123" s="427" t="e">
        <f t="shared" ref="AB123:AE123" si="65">VLOOKUP($T$125,$T$126:$AE$144,5+AB125)</f>
        <v>#N/A</v>
      </c>
      <c r="AC123" s="427" t="e">
        <f t="shared" si="65"/>
        <v>#N/A</v>
      </c>
      <c r="AD123" s="427" t="e">
        <f t="shared" si="65"/>
        <v>#N/A</v>
      </c>
      <c r="AE123" s="427" t="e">
        <f t="shared" si="65"/>
        <v>#N/A</v>
      </c>
      <c r="AO123" s="392"/>
    </row>
    <row r="124" spans="1:53" ht="12.75" hidden="1" customHeight="1">
      <c r="A124" s="505" t="s">
        <v>766</v>
      </c>
      <c r="F124" s="499" t="s">
        <v>760</v>
      </c>
      <c r="S124" s="38" t="str">
        <f>RIGHT(S125,1)</f>
        <v>F</v>
      </c>
      <c r="T124" s="38" t="s">
        <v>617</v>
      </c>
      <c r="U124" s="38" t="s">
        <v>618</v>
      </c>
      <c r="V124" s="38" t="s">
        <v>619</v>
      </c>
      <c r="W124" s="38" t="s">
        <v>620</v>
      </c>
      <c r="Y124" s="39" t="s">
        <v>414</v>
      </c>
      <c r="Z124" s="389" t="s">
        <v>415</v>
      </c>
      <c r="AA124" s="389" t="s">
        <v>416</v>
      </c>
      <c r="AB124" s="389" t="s">
        <v>230</v>
      </c>
      <c r="AC124" s="389" t="s">
        <v>417</v>
      </c>
      <c r="AD124" s="389" t="s">
        <v>418</v>
      </c>
      <c r="AE124" s="389" t="s">
        <v>419</v>
      </c>
      <c r="AO124" s="392"/>
    </row>
    <row r="125" spans="1:53" ht="12.75" hidden="1" customHeight="1">
      <c r="A125" s="38">
        <f>Principal!$H$8</f>
        <v>0</v>
      </c>
      <c r="B125" s="38">
        <f>U125</f>
        <v>19</v>
      </c>
      <c r="C125" s="38">
        <v>1</v>
      </c>
      <c r="D125" s="38">
        <v>2</v>
      </c>
      <c r="E125" s="38">
        <v>3</v>
      </c>
      <c r="F125" s="38">
        <v>4</v>
      </c>
      <c r="G125" s="38">
        <v>5</v>
      </c>
      <c r="H125" s="38">
        <v>6</v>
      </c>
      <c r="I125" s="38">
        <v>7</v>
      </c>
      <c r="J125" s="38">
        <v>8</v>
      </c>
      <c r="K125" s="38">
        <v>9</v>
      </c>
      <c r="L125" s="38">
        <v>10</v>
      </c>
      <c r="M125" s="38">
        <v>11</v>
      </c>
      <c r="N125" s="38">
        <v>12</v>
      </c>
      <c r="Q125" s="38">
        <f>Principal!$C$10</f>
        <v>2024</v>
      </c>
      <c r="S125" s="38" t="str">
        <f>luna!$A$74</f>
        <v>GF</v>
      </c>
      <c r="T125" s="38">
        <f>Principal!$H$8</f>
        <v>0</v>
      </c>
      <c r="U125" s="38">
        <f>luna!$A$69</f>
        <v>19</v>
      </c>
      <c r="Y125" s="39">
        <v>1</v>
      </c>
      <c r="Z125" s="389">
        <v>2</v>
      </c>
      <c r="AA125" s="389">
        <v>3</v>
      </c>
      <c r="AB125" s="389">
        <v>4</v>
      </c>
      <c r="AC125" s="389">
        <v>5</v>
      </c>
      <c r="AD125" s="389">
        <v>6</v>
      </c>
      <c r="AE125" s="389">
        <v>7</v>
      </c>
      <c r="AO125" s="392"/>
    </row>
    <row r="126" spans="1:53" ht="12.75" hidden="1" customHeight="1">
      <c r="B126" s="38" t="s">
        <v>618</v>
      </c>
      <c r="C126" s="38" t="s">
        <v>621</v>
      </c>
      <c r="D126" s="38" t="s">
        <v>622</v>
      </c>
      <c r="E126" s="38" t="s">
        <v>623</v>
      </c>
      <c r="F126" s="38" t="s">
        <v>624</v>
      </c>
      <c r="G126" s="38" t="s">
        <v>625</v>
      </c>
      <c r="H126" s="38" t="s">
        <v>626</v>
      </c>
      <c r="I126" s="38" t="s">
        <v>627</v>
      </c>
      <c r="J126" s="38" t="s">
        <v>628</v>
      </c>
      <c r="K126" s="38" t="s">
        <v>629</v>
      </c>
      <c r="L126" s="38" t="s">
        <v>630</v>
      </c>
      <c r="M126" s="38" t="s">
        <v>631</v>
      </c>
      <c r="N126" s="38" t="s">
        <v>632</v>
      </c>
      <c r="P126" s="499"/>
      <c r="Q126" s="499"/>
      <c r="R126" s="499"/>
      <c r="S126" s="501">
        <f>FIND(S124,Q128,1)</f>
        <v>6</v>
      </c>
      <c r="T126" s="38">
        <v>1</v>
      </c>
      <c r="U126" s="38">
        <v>29</v>
      </c>
      <c r="V126" s="520">
        <v>42461</v>
      </c>
      <c r="W126" s="521">
        <f>V126+13</f>
        <v>42474</v>
      </c>
      <c r="Y126" s="432">
        <f t="shared" ref="Y126:Y131" si="66">AE126+1</f>
        <v>42476</v>
      </c>
      <c r="Z126" s="433">
        <f>Y126+1</f>
        <v>42477</v>
      </c>
      <c r="AA126" s="433">
        <f>Z126+1</f>
        <v>42478</v>
      </c>
      <c r="AB126" s="433">
        <f>AA126+1</f>
        <v>42479</v>
      </c>
      <c r="AC126" s="433">
        <f>AB126+1</f>
        <v>42480</v>
      </c>
      <c r="AD126" s="433">
        <f>AC126+1</f>
        <v>42481</v>
      </c>
      <c r="AE126" s="433">
        <f>W126+1</f>
        <v>42475</v>
      </c>
      <c r="AG126" s="417">
        <f>V126</f>
        <v>42461</v>
      </c>
      <c r="AH126" s="40">
        <f>V126-AG126</f>
        <v>0</v>
      </c>
      <c r="AO126" s="392"/>
    </row>
    <row r="127" spans="1:53" ht="12.75" hidden="1" customHeight="1">
      <c r="A127" s="38">
        <v>15</v>
      </c>
      <c r="B127" s="38">
        <v>1</v>
      </c>
      <c r="C127" s="38">
        <v>30</v>
      </c>
      <c r="D127" s="38">
        <v>28</v>
      </c>
      <c r="E127" s="523">
        <v>30</v>
      </c>
      <c r="F127" s="38">
        <v>28</v>
      </c>
      <c r="G127" s="38">
        <v>28</v>
      </c>
      <c r="H127" s="38">
        <v>26</v>
      </c>
      <c r="I127" s="38">
        <v>26</v>
      </c>
      <c r="J127" s="38">
        <v>24</v>
      </c>
      <c r="K127" s="38">
        <v>23</v>
      </c>
      <c r="L127" s="38">
        <v>22</v>
      </c>
      <c r="M127" s="38">
        <v>21</v>
      </c>
      <c r="N127" s="38">
        <v>20</v>
      </c>
      <c r="P127" s="499"/>
      <c r="Q127" s="499"/>
      <c r="R127" s="499"/>
      <c r="S127" s="499"/>
      <c r="T127" s="38">
        <v>2</v>
      </c>
      <c r="U127" s="38">
        <v>10</v>
      </c>
      <c r="V127" s="520">
        <v>42450</v>
      </c>
      <c r="W127" s="521">
        <f t="shared" ref="W127:W144" si="67">V127+13</f>
        <v>42463</v>
      </c>
      <c r="Y127" s="432">
        <f t="shared" si="66"/>
        <v>42469</v>
      </c>
      <c r="Z127" s="433">
        <f t="shared" ref="Z127:AA144" si="68">Y127+1</f>
        <v>42470</v>
      </c>
      <c r="AA127" s="433">
        <f>W127+1</f>
        <v>42464</v>
      </c>
      <c r="AB127" s="433">
        <f t="shared" ref="AB127:AE144" si="69">AA127+1</f>
        <v>42465</v>
      </c>
      <c r="AC127" s="433">
        <f t="shared" si="69"/>
        <v>42466</v>
      </c>
      <c r="AD127" s="433">
        <f t="shared" si="69"/>
        <v>42467</v>
      </c>
      <c r="AE127" s="433">
        <f t="shared" si="69"/>
        <v>42468</v>
      </c>
      <c r="AG127" s="417">
        <f>IF(AND(DAY(AG126)&lt;20,MONTH(AG126)=3),V126-11+30,V126-11)</f>
        <v>42450</v>
      </c>
      <c r="AH127" s="498">
        <f t="shared" ref="AH127:AH144" si="70">V127-AG127</f>
        <v>0</v>
      </c>
      <c r="AO127" s="392"/>
    </row>
    <row r="128" spans="1:53" ht="12.75" hidden="1" customHeight="1">
      <c r="A128" s="38">
        <v>26</v>
      </c>
      <c r="B128" s="38">
        <v>2</v>
      </c>
      <c r="C128" s="38">
        <v>29</v>
      </c>
      <c r="D128" s="38">
        <v>27</v>
      </c>
      <c r="E128" s="523">
        <v>29</v>
      </c>
      <c r="F128" s="38">
        <v>27</v>
      </c>
      <c r="G128" s="38">
        <v>27</v>
      </c>
      <c r="H128" s="38">
        <v>25</v>
      </c>
      <c r="I128" s="38">
        <v>25</v>
      </c>
      <c r="J128" s="38">
        <v>23</v>
      </c>
      <c r="K128" s="38">
        <v>22</v>
      </c>
      <c r="L128" s="38">
        <v>21</v>
      </c>
      <c r="M128" s="38">
        <v>20</v>
      </c>
      <c r="N128" s="38">
        <v>19</v>
      </c>
      <c r="P128" s="499"/>
      <c r="Q128" s="499" t="s">
        <v>505</v>
      </c>
      <c r="R128" s="499"/>
      <c r="S128" s="499"/>
      <c r="T128" s="38">
        <v>3</v>
      </c>
      <c r="U128" s="38">
        <v>21</v>
      </c>
      <c r="V128" s="520">
        <v>42439</v>
      </c>
      <c r="W128" s="521">
        <f t="shared" si="67"/>
        <v>42452</v>
      </c>
      <c r="Y128" s="432">
        <f t="shared" si="66"/>
        <v>42455</v>
      </c>
      <c r="Z128" s="433">
        <f t="shared" si="68"/>
        <v>42456</v>
      </c>
      <c r="AA128" s="433">
        <f t="shared" si="68"/>
        <v>42457</v>
      </c>
      <c r="AB128" s="433">
        <f t="shared" si="69"/>
        <v>42458</v>
      </c>
      <c r="AC128" s="433">
        <f t="shared" si="69"/>
        <v>42459</v>
      </c>
      <c r="AD128" s="433">
        <f>W128+1</f>
        <v>42453</v>
      </c>
      <c r="AE128" s="433">
        <f t="shared" si="69"/>
        <v>42454</v>
      </c>
      <c r="AG128" s="417">
        <f t="shared" ref="AG128:AG144" si="71">IF(AND(DAY(AG127)&lt;20,MONTH(AG127)=3),V127-11+30,V127-11)</f>
        <v>42439</v>
      </c>
      <c r="AH128" s="498">
        <f t="shared" si="70"/>
        <v>0</v>
      </c>
      <c r="AO128" s="392"/>
    </row>
    <row r="129" spans="1:41" ht="12.75" hidden="1" customHeight="1">
      <c r="A129" s="38">
        <v>6</v>
      </c>
      <c r="B129" s="38">
        <v>3</v>
      </c>
      <c r="C129" s="38">
        <v>28</v>
      </c>
      <c r="D129" s="38">
        <v>26</v>
      </c>
      <c r="E129" s="523">
        <v>28</v>
      </c>
      <c r="F129" s="38">
        <v>26</v>
      </c>
      <c r="G129" s="38">
        <v>26</v>
      </c>
      <c r="H129" s="38">
        <v>24</v>
      </c>
      <c r="I129" s="38">
        <v>24</v>
      </c>
      <c r="J129" s="38">
        <v>22</v>
      </c>
      <c r="K129" s="38">
        <v>21</v>
      </c>
      <c r="L129" s="38">
        <v>20</v>
      </c>
      <c r="M129" s="38">
        <v>19</v>
      </c>
      <c r="N129" s="38">
        <v>18</v>
      </c>
      <c r="P129" s="499"/>
      <c r="Q129" s="499"/>
      <c r="R129" s="499"/>
      <c r="S129" s="499"/>
      <c r="T129" s="38">
        <v>4</v>
      </c>
      <c r="U129" s="38">
        <v>2</v>
      </c>
      <c r="V129" s="520">
        <v>42458</v>
      </c>
      <c r="W129" s="521">
        <f t="shared" si="67"/>
        <v>42471</v>
      </c>
      <c r="Y129" s="432">
        <f t="shared" si="66"/>
        <v>42476</v>
      </c>
      <c r="Z129" s="433">
        <f t="shared" si="68"/>
        <v>42477</v>
      </c>
      <c r="AA129" s="433">
        <f t="shared" si="68"/>
        <v>42478</v>
      </c>
      <c r="AB129" s="433">
        <f>W129+1</f>
        <v>42472</v>
      </c>
      <c r="AC129" s="433">
        <f t="shared" si="69"/>
        <v>42473</v>
      </c>
      <c r="AD129" s="433">
        <f t="shared" si="69"/>
        <v>42474</v>
      </c>
      <c r="AE129" s="433">
        <f t="shared" si="69"/>
        <v>42475</v>
      </c>
      <c r="AG129" s="417">
        <f t="shared" si="71"/>
        <v>42458</v>
      </c>
      <c r="AH129" s="498">
        <f t="shared" si="70"/>
        <v>0</v>
      </c>
      <c r="AO129" s="392"/>
    </row>
    <row r="130" spans="1:41" ht="12.75" hidden="1" customHeight="1">
      <c r="A130" s="38">
        <v>18</v>
      </c>
      <c r="B130" s="38">
        <v>4</v>
      </c>
      <c r="C130" s="38">
        <v>27</v>
      </c>
      <c r="D130" s="38">
        <v>25</v>
      </c>
      <c r="E130" s="523">
        <v>27</v>
      </c>
      <c r="F130" s="38">
        <v>25</v>
      </c>
      <c r="G130" s="38">
        <v>25</v>
      </c>
      <c r="H130" s="38">
        <v>23</v>
      </c>
      <c r="I130" s="38">
        <v>23</v>
      </c>
      <c r="J130" s="38">
        <v>21</v>
      </c>
      <c r="K130" s="38">
        <v>20</v>
      </c>
      <c r="L130" s="38">
        <v>19</v>
      </c>
      <c r="M130" s="38">
        <v>18</v>
      </c>
      <c r="N130" s="38">
        <v>17</v>
      </c>
      <c r="P130" s="518"/>
      <c r="Q130" s="518" t="s">
        <v>34</v>
      </c>
      <c r="R130" s="518"/>
      <c r="S130" s="499"/>
      <c r="T130" s="38">
        <v>5</v>
      </c>
      <c r="U130" s="38">
        <v>13</v>
      </c>
      <c r="V130" s="520">
        <v>42447</v>
      </c>
      <c r="W130" s="521">
        <f t="shared" si="67"/>
        <v>42460</v>
      </c>
      <c r="Y130" s="432">
        <f t="shared" si="66"/>
        <v>42462</v>
      </c>
      <c r="Z130" s="433">
        <f t="shared" si="68"/>
        <v>42463</v>
      </c>
      <c r="AA130" s="517">
        <f>Z130+1</f>
        <v>42464</v>
      </c>
      <c r="AB130" s="433">
        <f>AA130+1</f>
        <v>42465</v>
      </c>
      <c r="AC130" s="433">
        <f t="shared" si="69"/>
        <v>42466</v>
      </c>
      <c r="AD130" s="433">
        <f t="shared" si="69"/>
        <v>42467</v>
      </c>
      <c r="AE130" s="433">
        <f>W130+1</f>
        <v>42461</v>
      </c>
      <c r="AG130" s="417">
        <f t="shared" si="71"/>
        <v>42447</v>
      </c>
      <c r="AH130" s="498">
        <f t="shared" si="70"/>
        <v>0</v>
      </c>
      <c r="AO130" s="392"/>
    </row>
    <row r="131" spans="1:41" ht="12.75" hidden="1" customHeight="1">
      <c r="A131" s="38">
        <v>29</v>
      </c>
      <c r="B131" s="38">
        <v>5</v>
      </c>
      <c r="C131" s="38">
        <v>26</v>
      </c>
      <c r="D131" s="38">
        <v>24</v>
      </c>
      <c r="E131" s="523">
        <v>26</v>
      </c>
      <c r="F131" s="38">
        <v>24</v>
      </c>
      <c r="G131" s="38">
        <v>24</v>
      </c>
      <c r="H131" s="38">
        <v>22</v>
      </c>
      <c r="I131" s="38">
        <v>22</v>
      </c>
      <c r="J131" s="38">
        <v>20</v>
      </c>
      <c r="K131" s="38">
        <v>19</v>
      </c>
      <c r="L131" s="38">
        <v>18</v>
      </c>
      <c r="M131" s="38">
        <v>17</v>
      </c>
      <c r="N131" s="38">
        <v>16</v>
      </c>
      <c r="P131" s="716" t="e">
        <f>Y122</f>
        <v>#N/A</v>
      </c>
      <c r="Q131" s="717"/>
      <c r="R131" s="717"/>
      <c r="S131" s="499"/>
      <c r="T131" s="38">
        <v>6</v>
      </c>
      <c r="U131" s="38">
        <v>24</v>
      </c>
      <c r="V131" s="520">
        <v>42465</v>
      </c>
      <c r="W131" s="521">
        <f t="shared" si="67"/>
        <v>42478</v>
      </c>
      <c r="Y131" s="432">
        <f t="shared" si="66"/>
        <v>42483</v>
      </c>
      <c r="Z131" s="517">
        <f>Y131+1</f>
        <v>42484</v>
      </c>
      <c r="AA131" s="433">
        <f>Z131+1</f>
        <v>42485</v>
      </c>
      <c r="AB131" s="433">
        <f>W131+1</f>
        <v>42479</v>
      </c>
      <c r="AC131" s="433">
        <f t="shared" si="69"/>
        <v>42480</v>
      </c>
      <c r="AD131" s="433">
        <f t="shared" si="69"/>
        <v>42481</v>
      </c>
      <c r="AE131" s="433">
        <f t="shared" si="69"/>
        <v>42482</v>
      </c>
      <c r="AG131" s="417">
        <f t="shared" si="71"/>
        <v>42466</v>
      </c>
      <c r="AH131" s="498">
        <f t="shared" si="70"/>
        <v>-1</v>
      </c>
      <c r="AO131" s="392"/>
    </row>
    <row r="132" spans="1:41" ht="12.75" hidden="1" customHeight="1">
      <c r="A132" s="38">
        <v>10</v>
      </c>
      <c r="B132" s="38">
        <v>6</v>
      </c>
      <c r="C132" s="38">
        <v>25</v>
      </c>
      <c r="D132" s="38">
        <v>23</v>
      </c>
      <c r="E132" s="523">
        <v>25</v>
      </c>
      <c r="F132" s="38">
        <v>23</v>
      </c>
      <c r="G132" s="38">
        <v>23</v>
      </c>
      <c r="H132" s="38">
        <v>21</v>
      </c>
      <c r="I132" s="38">
        <v>21</v>
      </c>
      <c r="J132" s="38">
        <v>19</v>
      </c>
      <c r="K132" s="38">
        <v>18</v>
      </c>
      <c r="L132" s="38">
        <v>17</v>
      </c>
      <c r="M132" s="38">
        <v>16</v>
      </c>
      <c r="N132" s="38">
        <v>15</v>
      </c>
      <c r="T132" s="38">
        <v>7</v>
      </c>
      <c r="U132" s="38">
        <v>5</v>
      </c>
      <c r="V132" s="520">
        <v>42455</v>
      </c>
      <c r="W132" s="521">
        <f t="shared" si="67"/>
        <v>42468</v>
      </c>
      <c r="Y132" s="432">
        <f>W132+1</f>
        <v>42469</v>
      </c>
      <c r="Z132" s="433">
        <f t="shared" si="68"/>
        <v>42470</v>
      </c>
      <c r="AA132" s="433">
        <f t="shared" si="68"/>
        <v>42471</v>
      </c>
      <c r="AB132" s="433">
        <f t="shared" si="69"/>
        <v>42472</v>
      </c>
      <c r="AC132" s="433">
        <f t="shared" si="69"/>
        <v>42473</v>
      </c>
      <c r="AD132" s="433">
        <f t="shared" si="69"/>
        <v>42474</v>
      </c>
      <c r="AE132" s="433">
        <f t="shared" si="69"/>
        <v>42475</v>
      </c>
      <c r="AG132" s="417">
        <f t="shared" si="71"/>
        <v>42454</v>
      </c>
      <c r="AH132" s="498">
        <f t="shared" si="70"/>
        <v>1</v>
      </c>
      <c r="AI132" s="417"/>
      <c r="AO132" s="392"/>
    </row>
    <row r="133" spans="1:41" ht="12.75" hidden="1" customHeight="1">
      <c r="A133" s="38">
        <v>21</v>
      </c>
      <c r="B133" s="38">
        <v>7</v>
      </c>
      <c r="C133" s="38">
        <v>24</v>
      </c>
      <c r="D133" s="38">
        <v>22</v>
      </c>
      <c r="E133" s="523">
        <v>24</v>
      </c>
      <c r="F133" s="38">
        <v>22</v>
      </c>
      <c r="G133" s="38">
        <v>22</v>
      </c>
      <c r="H133" s="38">
        <v>20</v>
      </c>
      <c r="I133" s="38">
        <v>20</v>
      </c>
      <c r="J133" s="38">
        <v>18</v>
      </c>
      <c r="K133" s="38">
        <v>17</v>
      </c>
      <c r="L133" s="38">
        <v>16</v>
      </c>
      <c r="M133" s="38">
        <v>15</v>
      </c>
      <c r="N133" s="38">
        <v>14</v>
      </c>
      <c r="T133" s="38">
        <v>8</v>
      </c>
      <c r="U133" s="38">
        <v>16</v>
      </c>
      <c r="V133" s="520">
        <v>42444</v>
      </c>
      <c r="W133" s="521">
        <f t="shared" si="67"/>
        <v>42457</v>
      </c>
      <c r="Y133" s="432">
        <f>AE133+1</f>
        <v>42462</v>
      </c>
      <c r="Z133" s="433">
        <f t="shared" si="68"/>
        <v>42463</v>
      </c>
      <c r="AA133" s="433">
        <f t="shared" si="68"/>
        <v>42464</v>
      </c>
      <c r="AB133" s="433">
        <f>W133+1</f>
        <v>42458</v>
      </c>
      <c r="AC133" s="433">
        <f t="shared" si="69"/>
        <v>42459</v>
      </c>
      <c r="AD133" s="433">
        <f t="shared" si="69"/>
        <v>42460</v>
      </c>
      <c r="AE133" s="433">
        <f t="shared" si="69"/>
        <v>42461</v>
      </c>
      <c r="AG133" s="417">
        <f t="shared" si="71"/>
        <v>42444</v>
      </c>
      <c r="AH133" s="498">
        <f t="shared" si="70"/>
        <v>0</v>
      </c>
      <c r="AO133" s="392"/>
    </row>
    <row r="134" spans="1:41" ht="12.75" hidden="1" customHeight="1">
      <c r="A134" s="38">
        <v>1</v>
      </c>
      <c r="B134" s="38">
        <v>8</v>
      </c>
      <c r="C134" s="38">
        <v>23</v>
      </c>
      <c r="D134" s="38">
        <v>21</v>
      </c>
      <c r="E134" s="523">
        <v>23</v>
      </c>
      <c r="F134" s="38">
        <v>21</v>
      </c>
      <c r="G134" s="38">
        <v>21</v>
      </c>
      <c r="H134" s="38">
        <v>19</v>
      </c>
      <c r="I134" s="38">
        <v>19</v>
      </c>
      <c r="J134" s="38">
        <v>17</v>
      </c>
      <c r="K134" s="38">
        <v>16</v>
      </c>
      <c r="L134" s="38">
        <v>15</v>
      </c>
      <c r="M134" s="38">
        <v>14</v>
      </c>
      <c r="N134" s="38">
        <v>13</v>
      </c>
      <c r="P134" s="58" t="s">
        <v>682</v>
      </c>
      <c r="T134" s="38">
        <v>9</v>
      </c>
      <c r="U134" s="38">
        <v>27</v>
      </c>
      <c r="V134" s="520">
        <v>42463</v>
      </c>
      <c r="W134" s="521">
        <f t="shared" si="67"/>
        <v>42476</v>
      </c>
      <c r="Y134" s="432">
        <f>AE134+1</f>
        <v>42483</v>
      </c>
      <c r="Z134" s="433">
        <f>W134+1</f>
        <v>42477</v>
      </c>
      <c r="AA134" s="433">
        <f t="shared" si="68"/>
        <v>42478</v>
      </c>
      <c r="AB134" s="433">
        <f t="shared" si="69"/>
        <v>42479</v>
      </c>
      <c r="AC134" s="433">
        <f t="shared" si="69"/>
        <v>42480</v>
      </c>
      <c r="AD134" s="433">
        <f t="shared" si="69"/>
        <v>42481</v>
      </c>
      <c r="AE134" s="433">
        <f t="shared" si="69"/>
        <v>42482</v>
      </c>
      <c r="AG134" s="417">
        <f t="shared" si="71"/>
        <v>42463</v>
      </c>
      <c r="AH134" s="498">
        <f t="shared" si="70"/>
        <v>0</v>
      </c>
      <c r="AO134" s="392"/>
    </row>
    <row r="135" spans="1:41" ht="12.75" hidden="1" customHeight="1">
      <c r="A135" s="38">
        <v>13</v>
      </c>
      <c r="B135" s="38">
        <v>9</v>
      </c>
      <c r="C135" s="38">
        <v>22</v>
      </c>
      <c r="D135" s="38">
        <v>20</v>
      </c>
      <c r="E135" s="523">
        <v>22</v>
      </c>
      <c r="F135" s="38">
        <v>20</v>
      </c>
      <c r="G135" s="38">
        <v>20</v>
      </c>
      <c r="H135" s="38">
        <v>18</v>
      </c>
      <c r="I135" s="38">
        <v>18</v>
      </c>
      <c r="J135" s="38">
        <v>16</v>
      </c>
      <c r="K135" s="38">
        <v>15</v>
      </c>
      <c r="L135" s="38">
        <v>14</v>
      </c>
      <c r="M135" s="38">
        <v>13</v>
      </c>
      <c r="N135" s="38">
        <v>12</v>
      </c>
      <c r="P135" s="58" t="s">
        <v>709</v>
      </c>
      <c r="T135" s="38">
        <v>10</v>
      </c>
      <c r="U135" s="38">
        <v>8</v>
      </c>
      <c r="V135" s="520">
        <v>42452</v>
      </c>
      <c r="W135" s="521">
        <f t="shared" si="67"/>
        <v>42465</v>
      </c>
      <c r="Y135" s="432">
        <v>42469</v>
      </c>
      <c r="Z135" s="433">
        <f>Y135+1</f>
        <v>42470</v>
      </c>
      <c r="AA135" s="433">
        <f t="shared" si="68"/>
        <v>42471</v>
      </c>
      <c r="AB135" s="433">
        <f t="shared" si="69"/>
        <v>42472</v>
      </c>
      <c r="AC135" s="433">
        <f>W135+1</f>
        <v>42466</v>
      </c>
      <c r="AD135" s="433">
        <f t="shared" si="69"/>
        <v>42467</v>
      </c>
      <c r="AE135" s="433">
        <f t="shared" si="69"/>
        <v>42468</v>
      </c>
      <c r="AG135" s="417">
        <f t="shared" si="71"/>
        <v>42452</v>
      </c>
      <c r="AH135" s="498">
        <f t="shared" si="70"/>
        <v>0</v>
      </c>
      <c r="AO135" s="392"/>
    </row>
    <row r="136" spans="1:41" ht="12.75" hidden="1" customHeight="1">
      <c r="A136" s="38">
        <v>24</v>
      </c>
      <c r="B136" s="38">
        <v>10</v>
      </c>
      <c r="C136" s="38">
        <v>21</v>
      </c>
      <c r="D136" s="38">
        <v>19</v>
      </c>
      <c r="E136" s="523">
        <v>21</v>
      </c>
      <c r="F136" s="38">
        <v>19</v>
      </c>
      <c r="G136" s="38">
        <v>19</v>
      </c>
      <c r="H136" s="38">
        <v>17</v>
      </c>
      <c r="I136" s="38">
        <v>17</v>
      </c>
      <c r="J136" s="38">
        <v>15</v>
      </c>
      <c r="K136" s="38">
        <v>14</v>
      </c>
      <c r="L136" s="38">
        <v>13</v>
      </c>
      <c r="M136" s="38">
        <v>12</v>
      </c>
      <c r="N136" s="38">
        <v>11</v>
      </c>
      <c r="P136" s="525">
        <f>IF(VLOOKUP(B125,B127:N157,4)&gt;8,VLOOKUP(B125,B127:N157,4),VLOOKUP(B125,B127:N157,5))</f>
        <v>12</v>
      </c>
      <c r="Q136" s="522" t="str">
        <f>IF(B125&lt;24,"MARZO","ABRIL")</f>
        <v>MARZO</v>
      </c>
      <c r="T136" s="38">
        <v>11</v>
      </c>
      <c r="U136" s="38">
        <v>19</v>
      </c>
      <c r="V136" s="520">
        <v>42441</v>
      </c>
      <c r="W136" s="521">
        <f t="shared" si="67"/>
        <v>42454</v>
      </c>
      <c r="Y136" s="432">
        <f>W136+1</f>
        <v>42455</v>
      </c>
      <c r="Z136" s="433">
        <f t="shared" si="68"/>
        <v>42456</v>
      </c>
      <c r="AA136" s="433">
        <f t="shared" si="68"/>
        <v>42457</v>
      </c>
      <c r="AB136" s="433">
        <f t="shared" si="69"/>
        <v>42458</v>
      </c>
      <c r="AC136" s="433">
        <f t="shared" si="69"/>
        <v>42459</v>
      </c>
      <c r="AD136" s="433">
        <f t="shared" si="69"/>
        <v>42460</v>
      </c>
      <c r="AE136" s="433">
        <f t="shared" si="69"/>
        <v>42461</v>
      </c>
      <c r="AG136" s="417">
        <f t="shared" si="71"/>
        <v>42441</v>
      </c>
      <c r="AH136" s="498">
        <f t="shared" si="70"/>
        <v>0</v>
      </c>
      <c r="AO136" s="392"/>
    </row>
    <row r="137" spans="1:41" ht="12.75" hidden="1" customHeight="1">
      <c r="A137" s="38">
        <v>4</v>
      </c>
      <c r="B137" s="38">
        <v>11</v>
      </c>
      <c r="C137" s="38">
        <v>20</v>
      </c>
      <c r="D137" s="38">
        <v>18</v>
      </c>
      <c r="E137" s="523">
        <v>20</v>
      </c>
      <c r="F137" s="38">
        <v>18</v>
      </c>
      <c r="G137" s="38">
        <v>18</v>
      </c>
      <c r="H137" s="38">
        <v>16</v>
      </c>
      <c r="I137" s="38">
        <v>16</v>
      </c>
      <c r="J137" s="38">
        <v>14</v>
      </c>
      <c r="K137" s="38">
        <v>13</v>
      </c>
      <c r="L137" s="38">
        <v>12</v>
      </c>
      <c r="M137" s="38">
        <v>11</v>
      </c>
      <c r="N137" s="38">
        <v>10</v>
      </c>
      <c r="T137" s="38">
        <v>12</v>
      </c>
      <c r="U137" s="38" t="s">
        <v>611</v>
      </c>
      <c r="V137" s="520">
        <v>42460</v>
      </c>
      <c r="W137" s="521">
        <f t="shared" si="67"/>
        <v>42473</v>
      </c>
      <c r="Y137" s="432">
        <f t="shared" ref="Y137:Y144" si="72">AE137+1</f>
        <v>42476</v>
      </c>
      <c r="Z137" s="433">
        <f t="shared" si="68"/>
        <v>42477</v>
      </c>
      <c r="AA137" s="433">
        <f t="shared" si="68"/>
        <v>42478</v>
      </c>
      <c r="AB137" s="433">
        <f t="shared" si="69"/>
        <v>42479</v>
      </c>
      <c r="AC137" s="433">
        <f t="shared" si="69"/>
        <v>42480</v>
      </c>
      <c r="AD137" s="433">
        <f>W137+1</f>
        <v>42474</v>
      </c>
      <c r="AE137" s="433">
        <f t="shared" si="69"/>
        <v>42475</v>
      </c>
      <c r="AG137" s="417">
        <f t="shared" si="71"/>
        <v>42460</v>
      </c>
      <c r="AH137" s="498">
        <f t="shared" si="70"/>
        <v>0</v>
      </c>
      <c r="AO137" s="392"/>
    </row>
    <row r="138" spans="1:41" ht="12.75" hidden="1" customHeight="1">
      <c r="A138" s="38">
        <v>16</v>
      </c>
      <c r="B138" s="38">
        <v>12</v>
      </c>
      <c r="C138" s="38">
        <v>19</v>
      </c>
      <c r="D138" s="38">
        <v>17</v>
      </c>
      <c r="E138" s="523">
        <v>19</v>
      </c>
      <c r="F138" s="38">
        <v>17</v>
      </c>
      <c r="G138" s="38">
        <v>17</v>
      </c>
      <c r="H138" s="38">
        <v>15</v>
      </c>
      <c r="I138" s="38">
        <v>15</v>
      </c>
      <c r="J138" s="38">
        <v>13</v>
      </c>
      <c r="K138" s="38">
        <v>12</v>
      </c>
      <c r="L138" s="38">
        <v>11</v>
      </c>
      <c r="M138" s="38">
        <v>10</v>
      </c>
      <c r="N138" s="38">
        <v>9</v>
      </c>
      <c r="P138" s="718" t="e">
        <f>VLOOKUP(T125,T126:V144,3)</f>
        <v>#N/A</v>
      </c>
      <c r="Q138" s="719"/>
      <c r="T138" s="38">
        <v>13</v>
      </c>
      <c r="U138" s="38">
        <v>11</v>
      </c>
      <c r="V138" s="520">
        <v>42449</v>
      </c>
      <c r="W138" s="521">
        <f t="shared" si="67"/>
        <v>42462</v>
      </c>
      <c r="Y138" s="432">
        <f t="shared" si="72"/>
        <v>42469</v>
      </c>
      <c r="Z138" s="433">
        <f>W138+1</f>
        <v>42463</v>
      </c>
      <c r="AA138" s="433">
        <f t="shared" si="68"/>
        <v>42464</v>
      </c>
      <c r="AB138" s="433">
        <f t="shared" si="69"/>
        <v>42465</v>
      </c>
      <c r="AC138" s="433">
        <f t="shared" si="69"/>
        <v>42466</v>
      </c>
      <c r="AD138" s="433">
        <f t="shared" si="69"/>
        <v>42467</v>
      </c>
      <c r="AE138" s="433">
        <f t="shared" si="69"/>
        <v>42468</v>
      </c>
      <c r="AG138" s="417">
        <f t="shared" si="71"/>
        <v>42449</v>
      </c>
      <c r="AH138" s="498">
        <f t="shared" si="70"/>
        <v>0</v>
      </c>
      <c r="AO138" s="392"/>
    </row>
    <row r="139" spans="1:41" ht="12.75" hidden="1" customHeight="1">
      <c r="A139" s="38">
        <v>27</v>
      </c>
      <c r="B139" s="38">
        <v>13</v>
      </c>
      <c r="C139" s="38">
        <v>18</v>
      </c>
      <c r="D139" s="38">
        <v>16</v>
      </c>
      <c r="E139" s="523">
        <v>18</v>
      </c>
      <c r="F139" s="38">
        <v>16</v>
      </c>
      <c r="G139" s="38">
        <v>16</v>
      </c>
      <c r="H139" s="38">
        <v>14</v>
      </c>
      <c r="I139" s="38">
        <v>14</v>
      </c>
      <c r="J139" s="38">
        <v>12</v>
      </c>
      <c r="K139" s="38">
        <v>11</v>
      </c>
      <c r="L139" s="38">
        <v>10</v>
      </c>
      <c r="M139" s="38">
        <v>9</v>
      </c>
      <c r="N139" s="38">
        <v>8</v>
      </c>
      <c r="T139" s="38">
        <v>14</v>
      </c>
      <c r="U139" s="38">
        <v>22</v>
      </c>
      <c r="V139" s="520">
        <v>42438</v>
      </c>
      <c r="W139" s="521">
        <f t="shared" si="67"/>
        <v>42451</v>
      </c>
      <c r="Y139" s="432">
        <f t="shared" si="72"/>
        <v>42455</v>
      </c>
      <c r="Z139" s="433">
        <f t="shared" si="68"/>
        <v>42456</v>
      </c>
      <c r="AA139" s="433">
        <f t="shared" si="68"/>
        <v>42457</v>
      </c>
      <c r="AB139" s="433">
        <f t="shared" si="69"/>
        <v>42458</v>
      </c>
      <c r="AC139" s="433">
        <f>W139+1</f>
        <v>42452</v>
      </c>
      <c r="AD139" s="433">
        <f t="shared" si="69"/>
        <v>42453</v>
      </c>
      <c r="AE139" s="433">
        <f t="shared" si="69"/>
        <v>42454</v>
      </c>
      <c r="AG139" s="417">
        <f t="shared" si="71"/>
        <v>42438</v>
      </c>
      <c r="AH139" s="498">
        <f t="shared" si="70"/>
        <v>0</v>
      </c>
      <c r="AO139" s="392"/>
    </row>
    <row r="140" spans="1:41" ht="12.75" hidden="1" customHeight="1">
      <c r="A140" s="38">
        <v>7</v>
      </c>
      <c r="B140" s="38">
        <v>14</v>
      </c>
      <c r="C140" s="38">
        <v>17</v>
      </c>
      <c r="D140" s="38">
        <v>15</v>
      </c>
      <c r="E140" s="523">
        <v>17</v>
      </c>
      <c r="F140" s="38">
        <v>15</v>
      </c>
      <c r="G140" s="38">
        <v>15</v>
      </c>
      <c r="H140" s="38">
        <v>13</v>
      </c>
      <c r="I140" s="38">
        <v>13</v>
      </c>
      <c r="J140" s="38">
        <v>11</v>
      </c>
      <c r="K140" s="38">
        <v>10</v>
      </c>
      <c r="L140" s="38">
        <v>9</v>
      </c>
      <c r="M140" s="38">
        <v>8</v>
      </c>
      <c r="N140" s="38">
        <v>7</v>
      </c>
      <c r="T140" s="38">
        <v>15</v>
      </c>
      <c r="U140" s="38">
        <v>3</v>
      </c>
      <c r="V140" s="520">
        <v>42457</v>
      </c>
      <c r="W140" s="521">
        <f t="shared" si="67"/>
        <v>42470</v>
      </c>
      <c r="Y140" s="432">
        <f t="shared" si="72"/>
        <v>42476</v>
      </c>
      <c r="Z140" s="433">
        <f t="shared" si="68"/>
        <v>42477</v>
      </c>
      <c r="AA140" s="433">
        <f>W140+1</f>
        <v>42471</v>
      </c>
      <c r="AB140" s="433">
        <f t="shared" si="69"/>
        <v>42472</v>
      </c>
      <c r="AC140" s="433">
        <f t="shared" si="69"/>
        <v>42473</v>
      </c>
      <c r="AD140" s="433">
        <f t="shared" si="69"/>
        <v>42474</v>
      </c>
      <c r="AE140" s="433">
        <f t="shared" si="69"/>
        <v>42475</v>
      </c>
      <c r="AG140" s="417">
        <f t="shared" si="71"/>
        <v>42457</v>
      </c>
      <c r="AH140" s="498">
        <f t="shared" si="70"/>
        <v>0</v>
      </c>
      <c r="AO140" s="392"/>
    </row>
    <row r="141" spans="1:41" ht="12.75" hidden="1" customHeight="1">
      <c r="A141" s="38">
        <v>19</v>
      </c>
      <c r="B141" s="38">
        <v>15</v>
      </c>
      <c r="C141" s="38">
        <v>16</v>
      </c>
      <c r="D141" s="38">
        <v>14</v>
      </c>
      <c r="E141" s="523">
        <v>16</v>
      </c>
      <c r="F141" s="38">
        <v>14</v>
      </c>
      <c r="G141" s="38">
        <v>14</v>
      </c>
      <c r="H141" s="38">
        <v>12</v>
      </c>
      <c r="I141" s="38">
        <v>12</v>
      </c>
      <c r="J141" s="38">
        <v>10</v>
      </c>
      <c r="K141" s="38">
        <v>9</v>
      </c>
      <c r="L141" s="38">
        <v>8</v>
      </c>
      <c r="M141" s="38">
        <v>7</v>
      </c>
      <c r="N141" s="38">
        <v>6</v>
      </c>
      <c r="T141" s="38">
        <v>16</v>
      </c>
      <c r="U141" s="38">
        <v>14</v>
      </c>
      <c r="V141" s="520">
        <v>42446</v>
      </c>
      <c r="W141" s="521">
        <f t="shared" si="67"/>
        <v>42459</v>
      </c>
      <c r="Y141" s="432">
        <f t="shared" si="72"/>
        <v>42462</v>
      </c>
      <c r="Z141" s="433">
        <f t="shared" si="68"/>
        <v>42463</v>
      </c>
      <c r="AA141" s="433">
        <f t="shared" si="68"/>
        <v>42464</v>
      </c>
      <c r="AB141" s="433">
        <f t="shared" si="69"/>
        <v>42465</v>
      </c>
      <c r="AC141" s="433">
        <f t="shared" si="69"/>
        <v>42466</v>
      </c>
      <c r="AD141" s="433">
        <f>W141+1</f>
        <v>42460</v>
      </c>
      <c r="AE141" s="433">
        <f t="shared" si="69"/>
        <v>42461</v>
      </c>
      <c r="AG141" s="417">
        <f t="shared" si="71"/>
        <v>42446</v>
      </c>
      <c r="AH141" s="498">
        <f t="shared" si="70"/>
        <v>0</v>
      </c>
      <c r="AO141" s="392"/>
    </row>
    <row r="142" spans="1:41" ht="12.75" hidden="1" customHeight="1">
      <c r="A142" s="38">
        <v>30</v>
      </c>
      <c r="B142" s="38">
        <v>16</v>
      </c>
      <c r="C142" s="38">
        <v>15</v>
      </c>
      <c r="D142" s="38">
        <v>13</v>
      </c>
      <c r="E142" s="523">
        <v>15</v>
      </c>
      <c r="F142" s="38">
        <v>13</v>
      </c>
      <c r="G142" s="38">
        <v>13</v>
      </c>
      <c r="H142" s="38">
        <v>11</v>
      </c>
      <c r="I142" s="38">
        <v>11</v>
      </c>
      <c r="J142" s="38">
        <v>9</v>
      </c>
      <c r="K142" s="38">
        <v>8</v>
      </c>
      <c r="L142" s="38">
        <v>7</v>
      </c>
      <c r="M142" s="38">
        <v>6</v>
      </c>
      <c r="N142" s="38">
        <v>5</v>
      </c>
      <c r="T142" s="38">
        <v>17</v>
      </c>
      <c r="U142" s="38">
        <v>25</v>
      </c>
      <c r="V142" s="520">
        <v>42464</v>
      </c>
      <c r="W142" s="521">
        <f t="shared" si="67"/>
        <v>42477</v>
      </c>
      <c r="Y142" s="432">
        <f t="shared" si="72"/>
        <v>42483</v>
      </c>
      <c r="Z142" s="433">
        <f t="shared" si="68"/>
        <v>42484</v>
      </c>
      <c r="AA142" s="433">
        <f>W142+1</f>
        <v>42478</v>
      </c>
      <c r="AB142" s="433">
        <f t="shared" si="69"/>
        <v>42479</v>
      </c>
      <c r="AC142" s="433">
        <f t="shared" si="69"/>
        <v>42480</v>
      </c>
      <c r="AD142" s="433">
        <f t="shared" si="69"/>
        <v>42481</v>
      </c>
      <c r="AE142" s="433">
        <f t="shared" si="69"/>
        <v>42482</v>
      </c>
      <c r="AG142" s="417">
        <f t="shared" si="71"/>
        <v>42465</v>
      </c>
      <c r="AH142" s="498">
        <f t="shared" si="70"/>
        <v>-1</v>
      </c>
      <c r="AO142" s="392"/>
    </row>
    <row r="143" spans="1:41" ht="12.75" hidden="1" customHeight="1">
      <c r="A143" s="38">
        <v>11</v>
      </c>
      <c r="B143" s="38">
        <v>17</v>
      </c>
      <c r="C143" s="38">
        <v>14</v>
      </c>
      <c r="D143" s="38">
        <v>12</v>
      </c>
      <c r="E143" s="523">
        <v>14</v>
      </c>
      <c r="F143" s="38">
        <v>12</v>
      </c>
      <c r="G143" s="38">
        <v>12</v>
      </c>
      <c r="H143" s="38">
        <v>10</v>
      </c>
      <c r="I143" s="38">
        <v>10</v>
      </c>
      <c r="J143" s="38">
        <v>8</v>
      </c>
      <c r="K143" s="38">
        <v>7</v>
      </c>
      <c r="L143" s="38">
        <v>6</v>
      </c>
      <c r="M143" s="38">
        <v>5</v>
      </c>
      <c r="N143" s="38">
        <v>4</v>
      </c>
      <c r="T143" s="38">
        <v>18</v>
      </c>
      <c r="U143" s="38">
        <v>6</v>
      </c>
      <c r="V143" s="520">
        <v>42454</v>
      </c>
      <c r="W143" s="521">
        <f t="shared" si="67"/>
        <v>42467</v>
      </c>
      <c r="Y143" s="432">
        <f t="shared" si="72"/>
        <v>42469</v>
      </c>
      <c r="Z143" s="433">
        <f t="shared" si="68"/>
        <v>42470</v>
      </c>
      <c r="AA143" s="433">
        <f t="shared" si="68"/>
        <v>42471</v>
      </c>
      <c r="AB143" s="433">
        <f t="shared" si="69"/>
        <v>42472</v>
      </c>
      <c r="AC143" s="433">
        <f t="shared" si="69"/>
        <v>42473</v>
      </c>
      <c r="AD143" s="433">
        <f t="shared" si="69"/>
        <v>42474</v>
      </c>
      <c r="AE143" s="433">
        <f>W143+1</f>
        <v>42468</v>
      </c>
      <c r="AG143" s="417">
        <f t="shared" si="71"/>
        <v>42453</v>
      </c>
      <c r="AH143" s="498">
        <f t="shared" si="70"/>
        <v>1</v>
      </c>
      <c r="AO143" s="392"/>
    </row>
    <row r="144" spans="1:41" ht="12.75" hidden="1" customHeight="1">
      <c r="A144" s="38">
        <v>22</v>
      </c>
      <c r="B144" s="38">
        <v>18</v>
      </c>
      <c r="C144" s="38">
        <v>13</v>
      </c>
      <c r="D144" s="38">
        <v>11</v>
      </c>
      <c r="E144" s="523">
        <v>13</v>
      </c>
      <c r="F144" s="38">
        <v>11</v>
      </c>
      <c r="G144" s="38">
        <v>11</v>
      </c>
      <c r="H144" s="38">
        <v>9</v>
      </c>
      <c r="I144" s="38">
        <v>9</v>
      </c>
      <c r="J144" s="38">
        <v>7</v>
      </c>
      <c r="K144" s="38">
        <v>6</v>
      </c>
      <c r="L144" s="38">
        <v>5</v>
      </c>
      <c r="M144" s="38">
        <v>4</v>
      </c>
      <c r="N144" s="38">
        <v>3</v>
      </c>
      <c r="T144" s="38">
        <v>19</v>
      </c>
      <c r="U144" s="38">
        <v>17</v>
      </c>
      <c r="V144" s="520">
        <v>42443</v>
      </c>
      <c r="W144" s="521">
        <f t="shared" si="67"/>
        <v>42456</v>
      </c>
      <c r="Y144" s="432">
        <f t="shared" si="72"/>
        <v>42462</v>
      </c>
      <c r="Z144" s="433">
        <f t="shared" si="68"/>
        <v>42463</v>
      </c>
      <c r="AA144" s="433">
        <f>W144+1</f>
        <v>42457</v>
      </c>
      <c r="AB144" s="433">
        <f t="shared" si="69"/>
        <v>42458</v>
      </c>
      <c r="AC144" s="433">
        <f t="shared" si="69"/>
        <v>42459</v>
      </c>
      <c r="AD144" s="433">
        <f t="shared" si="69"/>
        <v>42460</v>
      </c>
      <c r="AE144" s="433">
        <f t="shared" si="69"/>
        <v>42461</v>
      </c>
      <c r="AG144" s="417">
        <f t="shared" si="71"/>
        <v>42443</v>
      </c>
      <c r="AH144" s="498">
        <f t="shared" si="70"/>
        <v>0</v>
      </c>
      <c r="AO144" s="392"/>
    </row>
    <row r="145" spans="1:41" ht="12.75" hidden="1" customHeight="1">
      <c r="A145" s="38">
        <v>2</v>
      </c>
      <c r="B145" s="38">
        <v>19</v>
      </c>
      <c r="C145" s="38">
        <v>12</v>
      </c>
      <c r="D145" s="38">
        <v>10</v>
      </c>
      <c r="E145" s="523">
        <v>12</v>
      </c>
      <c r="F145" s="38">
        <v>10</v>
      </c>
      <c r="G145" s="38">
        <v>10</v>
      </c>
      <c r="H145" s="38">
        <v>8</v>
      </c>
      <c r="I145" s="38">
        <v>8</v>
      </c>
      <c r="J145" s="38">
        <v>6</v>
      </c>
      <c r="K145" s="38">
        <v>5</v>
      </c>
      <c r="L145" s="38">
        <v>4</v>
      </c>
      <c r="M145" s="38">
        <v>3</v>
      </c>
      <c r="N145" s="499" t="s">
        <v>764</v>
      </c>
      <c r="AO145" s="392"/>
    </row>
    <row r="146" spans="1:41" ht="12.75" hidden="1" customHeight="1">
      <c r="A146" s="38">
        <v>14</v>
      </c>
      <c r="B146" s="38">
        <v>20</v>
      </c>
      <c r="C146" s="38">
        <v>11</v>
      </c>
      <c r="D146" s="38">
        <v>9</v>
      </c>
      <c r="E146" s="523">
        <v>11</v>
      </c>
      <c r="F146" s="38">
        <v>9</v>
      </c>
      <c r="G146" s="38">
        <v>9</v>
      </c>
      <c r="H146" s="38">
        <v>7</v>
      </c>
      <c r="I146" s="38">
        <v>7</v>
      </c>
      <c r="J146" s="38">
        <v>5</v>
      </c>
      <c r="K146" s="38">
        <v>4</v>
      </c>
      <c r="L146" s="38">
        <v>3</v>
      </c>
      <c r="M146" s="38">
        <v>2</v>
      </c>
      <c r="N146" s="499" t="s">
        <v>764</v>
      </c>
    </row>
    <row r="147" spans="1:41" ht="12.75" hidden="1" customHeight="1">
      <c r="A147" s="38">
        <v>25</v>
      </c>
      <c r="B147" s="38">
        <v>21</v>
      </c>
      <c r="C147" s="38">
        <v>10</v>
      </c>
      <c r="D147" s="38">
        <v>8</v>
      </c>
      <c r="E147" s="523">
        <v>10</v>
      </c>
      <c r="F147" s="38">
        <v>8</v>
      </c>
      <c r="G147" s="38">
        <v>8</v>
      </c>
      <c r="H147" s="38">
        <v>6</v>
      </c>
      <c r="I147" s="38">
        <v>6</v>
      </c>
      <c r="J147" s="38">
        <v>4</v>
      </c>
      <c r="K147" s="38">
        <v>3</v>
      </c>
      <c r="L147" s="38">
        <v>2</v>
      </c>
      <c r="M147" s="38">
        <v>1</v>
      </c>
      <c r="N147" s="499" t="s">
        <v>762</v>
      </c>
    </row>
    <row r="148" spans="1:41" ht="12.75" hidden="1" customHeight="1">
      <c r="A148" s="38">
        <v>5</v>
      </c>
      <c r="B148" s="38">
        <v>22</v>
      </c>
      <c r="C148" s="38">
        <v>9</v>
      </c>
      <c r="D148" s="38">
        <v>7</v>
      </c>
      <c r="E148" s="523">
        <v>9</v>
      </c>
      <c r="F148" s="38">
        <v>7</v>
      </c>
      <c r="G148" s="38">
        <v>7</v>
      </c>
      <c r="H148" s="38">
        <v>5</v>
      </c>
      <c r="I148" s="38">
        <v>5</v>
      </c>
      <c r="J148" s="38">
        <v>3</v>
      </c>
      <c r="K148" s="38">
        <v>2</v>
      </c>
      <c r="L148" s="499" t="s">
        <v>763</v>
      </c>
      <c r="M148" s="38">
        <v>29</v>
      </c>
      <c r="N148" s="38">
        <v>29</v>
      </c>
    </row>
    <row r="149" spans="1:41" ht="12.75" hidden="1" customHeight="1">
      <c r="A149" s="38">
        <v>17</v>
      </c>
      <c r="B149" s="38">
        <v>23</v>
      </c>
      <c r="C149" s="38">
        <v>8</v>
      </c>
      <c r="D149" s="38">
        <v>6</v>
      </c>
      <c r="E149" s="523">
        <v>8</v>
      </c>
      <c r="F149" s="38">
        <v>6</v>
      </c>
      <c r="G149" s="38">
        <v>6</v>
      </c>
      <c r="H149" s="38">
        <v>4</v>
      </c>
      <c r="I149" s="38">
        <v>4</v>
      </c>
      <c r="J149" s="38">
        <v>2</v>
      </c>
      <c r="K149" s="499" t="s">
        <v>762</v>
      </c>
      <c r="L149" s="38">
        <v>30</v>
      </c>
      <c r="M149" s="38">
        <v>28</v>
      </c>
      <c r="N149" s="38">
        <v>28</v>
      </c>
    </row>
    <row r="150" spans="1:41" ht="12.75" hidden="1" customHeight="1">
      <c r="A150" s="38">
        <v>28</v>
      </c>
      <c r="B150" s="38">
        <v>24</v>
      </c>
      <c r="C150" s="38">
        <v>7</v>
      </c>
      <c r="D150" s="38">
        <v>5</v>
      </c>
      <c r="E150" s="38">
        <v>7</v>
      </c>
      <c r="F150" s="523">
        <v>5</v>
      </c>
      <c r="G150" s="38">
        <v>5</v>
      </c>
      <c r="H150" s="38">
        <v>3</v>
      </c>
      <c r="I150" s="38">
        <v>3</v>
      </c>
      <c r="J150" s="499" t="s">
        <v>763</v>
      </c>
      <c r="K150" s="38">
        <v>29</v>
      </c>
      <c r="L150" s="38">
        <v>29</v>
      </c>
      <c r="M150" s="38">
        <v>27</v>
      </c>
      <c r="N150" s="38">
        <v>27</v>
      </c>
    </row>
    <row r="151" spans="1:41" ht="12.75" hidden="1" customHeight="1">
      <c r="A151" s="38">
        <v>8</v>
      </c>
      <c r="B151" s="38">
        <v>25</v>
      </c>
      <c r="C151" s="38">
        <v>6</v>
      </c>
      <c r="D151" s="38">
        <v>5</v>
      </c>
      <c r="E151" s="38">
        <v>6</v>
      </c>
      <c r="F151" s="523">
        <v>4</v>
      </c>
      <c r="G151" s="38">
        <v>4</v>
      </c>
      <c r="H151" s="38">
        <v>3</v>
      </c>
      <c r="I151" s="38">
        <v>2</v>
      </c>
      <c r="J151" s="499" t="s">
        <v>762</v>
      </c>
      <c r="K151" s="38">
        <v>29</v>
      </c>
      <c r="L151" s="38">
        <v>28</v>
      </c>
      <c r="M151" s="38">
        <v>27</v>
      </c>
      <c r="N151" s="38">
        <v>26</v>
      </c>
    </row>
    <row r="152" spans="1:41" ht="12.75" hidden="1" customHeight="1">
      <c r="A152" s="38">
        <v>20</v>
      </c>
      <c r="B152" s="38">
        <v>26</v>
      </c>
      <c r="C152" s="38">
        <v>5</v>
      </c>
      <c r="D152" s="38">
        <v>4</v>
      </c>
      <c r="E152" s="38">
        <v>5</v>
      </c>
      <c r="F152" s="523">
        <v>4</v>
      </c>
      <c r="G152" s="38">
        <v>3</v>
      </c>
      <c r="H152" s="38">
        <v>2</v>
      </c>
      <c r="I152" s="499" t="s">
        <v>763</v>
      </c>
      <c r="J152" s="38">
        <v>29</v>
      </c>
      <c r="K152" s="38">
        <v>28</v>
      </c>
      <c r="L152" s="38">
        <v>27</v>
      </c>
      <c r="M152" s="38">
        <v>26</v>
      </c>
      <c r="N152" s="38">
        <v>25</v>
      </c>
    </row>
    <row r="153" spans="1:41" ht="12.75" hidden="1" customHeight="1">
      <c r="A153" s="38">
        <v>31</v>
      </c>
      <c r="B153" s="38">
        <v>27</v>
      </c>
      <c r="C153" s="38">
        <v>4</v>
      </c>
      <c r="D153" s="38">
        <v>3</v>
      </c>
      <c r="E153" s="38">
        <v>4</v>
      </c>
      <c r="F153" s="523">
        <v>3</v>
      </c>
      <c r="G153" s="38">
        <v>2</v>
      </c>
      <c r="H153" s="499" t="s">
        <v>762</v>
      </c>
      <c r="I153" s="38">
        <v>30</v>
      </c>
      <c r="J153" s="38">
        <v>28</v>
      </c>
      <c r="K153" s="38">
        <v>27</v>
      </c>
      <c r="L153" s="38">
        <v>26</v>
      </c>
      <c r="M153" s="38">
        <v>25</v>
      </c>
      <c r="N153" s="38">
        <v>24</v>
      </c>
    </row>
    <row r="154" spans="1:41" ht="12.75" hidden="1" customHeight="1">
      <c r="A154" s="38">
        <v>12</v>
      </c>
      <c r="B154" s="38">
        <v>28</v>
      </c>
      <c r="C154" s="38">
        <v>3</v>
      </c>
      <c r="D154" s="38">
        <v>2</v>
      </c>
      <c r="E154" s="38">
        <v>3</v>
      </c>
      <c r="F154" s="523">
        <v>2</v>
      </c>
      <c r="G154" s="499" t="s">
        <v>763</v>
      </c>
      <c r="H154" s="38">
        <v>29</v>
      </c>
      <c r="I154" s="38">
        <v>29</v>
      </c>
      <c r="J154" s="38">
        <v>27</v>
      </c>
      <c r="K154" s="38">
        <v>26</v>
      </c>
      <c r="L154" s="38">
        <v>25</v>
      </c>
      <c r="M154" s="38">
        <v>24</v>
      </c>
      <c r="N154" s="38">
        <v>23</v>
      </c>
    </row>
    <row r="155" spans="1:41" ht="12.75" hidden="1" customHeight="1">
      <c r="A155" s="38">
        <v>23</v>
      </c>
      <c r="B155" s="38">
        <v>29</v>
      </c>
      <c r="C155" s="38">
        <v>2</v>
      </c>
      <c r="D155" s="38">
        <v>1</v>
      </c>
      <c r="E155" s="38">
        <v>2</v>
      </c>
      <c r="F155" s="524" t="s">
        <v>762</v>
      </c>
      <c r="G155" s="38">
        <v>30</v>
      </c>
      <c r="H155" s="38">
        <v>28</v>
      </c>
      <c r="I155" s="38">
        <v>28</v>
      </c>
      <c r="J155" s="38">
        <v>26</v>
      </c>
      <c r="K155" s="38">
        <v>25</v>
      </c>
      <c r="L155" s="38">
        <v>24</v>
      </c>
      <c r="M155" s="38">
        <v>23</v>
      </c>
      <c r="N155" s="38">
        <v>22</v>
      </c>
    </row>
    <row r="156" spans="1:41" ht="12.75" hidden="1" customHeight="1">
      <c r="A156" s="38">
        <v>3</v>
      </c>
      <c r="B156" s="38">
        <v>0</v>
      </c>
      <c r="C156" s="499" t="s">
        <v>763</v>
      </c>
      <c r="D156" s="38">
        <v>29</v>
      </c>
      <c r="E156" s="523" t="s">
        <v>763</v>
      </c>
      <c r="F156" s="519">
        <v>29</v>
      </c>
      <c r="G156" s="38">
        <v>29</v>
      </c>
      <c r="H156" s="38">
        <v>27</v>
      </c>
      <c r="I156" s="38">
        <v>27</v>
      </c>
      <c r="J156" s="38">
        <v>25</v>
      </c>
      <c r="K156" s="38">
        <v>24</v>
      </c>
      <c r="L156" s="38">
        <v>23</v>
      </c>
      <c r="M156" s="38">
        <v>22</v>
      </c>
      <c r="N156" s="38">
        <v>21</v>
      </c>
    </row>
    <row r="157" spans="1:41" ht="12.75" hidden="1" customHeight="1">
      <c r="A157" s="38">
        <v>9</v>
      </c>
      <c r="B157" s="38" t="s">
        <v>633</v>
      </c>
      <c r="C157" s="38">
        <v>6</v>
      </c>
      <c r="D157" s="38">
        <v>4</v>
      </c>
      <c r="E157" s="38">
        <v>6</v>
      </c>
      <c r="F157" s="523">
        <v>4</v>
      </c>
      <c r="G157" s="38">
        <v>4</v>
      </c>
      <c r="H157" s="38">
        <v>2</v>
      </c>
      <c r="I157" s="499" t="s">
        <v>764</v>
      </c>
      <c r="J157" s="38">
        <v>30</v>
      </c>
      <c r="K157" s="38">
        <v>28</v>
      </c>
      <c r="L157" s="38">
        <v>28</v>
      </c>
      <c r="M157" s="38">
        <v>26</v>
      </c>
      <c r="N157" s="38">
        <v>26</v>
      </c>
    </row>
    <row r="158" spans="1:41" ht="12.75" hidden="1" customHeight="1"/>
    <row r="159" spans="1:41" ht="12.75" hidden="1" customHeight="1"/>
    <row r="160" spans="1:41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</sheetData>
  <mergeCells count="188">
    <mergeCell ref="P131:R131"/>
    <mergeCell ref="P138:Q138"/>
    <mergeCell ref="AA71:AB71"/>
    <mergeCell ref="AE71:AF71"/>
    <mergeCell ref="AO89:AP89"/>
    <mergeCell ref="AQ89:AR89"/>
    <mergeCell ref="AF64:AG64"/>
    <mergeCell ref="AI64:AJ64"/>
    <mergeCell ref="AF65:AG65"/>
    <mergeCell ref="AI65:AJ65"/>
    <mergeCell ref="AF68:AG68"/>
    <mergeCell ref="AF69:AG69"/>
    <mergeCell ref="C59:E59"/>
    <mergeCell ref="H59:K59"/>
    <mergeCell ref="L59:N59"/>
    <mergeCell ref="Q59:T59"/>
    <mergeCell ref="Z59:AB59"/>
    <mergeCell ref="AD59:AE59"/>
    <mergeCell ref="C58:E58"/>
    <mergeCell ref="H58:K58"/>
    <mergeCell ref="L58:O58"/>
    <mergeCell ref="Q58:T58"/>
    <mergeCell ref="Z58:AB58"/>
    <mergeCell ref="AD58:AE58"/>
    <mergeCell ref="Z57:AB57"/>
    <mergeCell ref="BN60:BO60"/>
    <mergeCell ref="AI57:AJ57"/>
    <mergeCell ref="AK57:AL57"/>
    <mergeCell ref="Z54:AB54"/>
    <mergeCell ref="AD54:AE54"/>
    <mergeCell ref="AF61:AG61"/>
    <mergeCell ref="G62:I62"/>
    <mergeCell ref="R62:S62"/>
    <mergeCell ref="Z62:AA62"/>
    <mergeCell ref="AF62:AG62"/>
    <mergeCell ref="AP58:AR58"/>
    <mergeCell ref="AS58:AT58"/>
    <mergeCell ref="C55:F55"/>
    <mergeCell ref="H55:J55"/>
    <mergeCell ref="L55:N55"/>
    <mergeCell ref="P55:R55"/>
    <mergeCell ref="T55:W56"/>
    <mergeCell ref="Z55:AB55"/>
    <mergeCell ref="AM51:AN51"/>
    <mergeCell ref="AD55:AE55"/>
    <mergeCell ref="C56:F56"/>
    <mergeCell ref="H56:J56"/>
    <mergeCell ref="L56:N56"/>
    <mergeCell ref="P56:R56"/>
    <mergeCell ref="AP51:AQ51"/>
    <mergeCell ref="C52:E52"/>
    <mergeCell ref="C53:E53"/>
    <mergeCell ref="F53:H53"/>
    <mergeCell ref="I53:K53"/>
    <mergeCell ref="L53:N53"/>
    <mergeCell ref="O53:Q53"/>
    <mergeCell ref="AE52:AF52"/>
    <mergeCell ref="Z53:AB53"/>
    <mergeCell ref="Z46:AB46"/>
    <mergeCell ref="AD46:AE46"/>
    <mergeCell ref="Z49:AA49"/>
    <mergeCell ref="X50:Y50"/>
    <mergeCell ref="AB50:AC50"/>
    <mergeCell ref="X51:Y51"/>
    <mergeCell ref="AB51:AC51"/>
    <mergeCell ref="B40:B45"/>
    <mergeCell ref="N40:N45"/>
    <mergeCell ref="Z40:AB40"/>
    <mergeCell ref="AD40:AE40"/>
    <mergeCell ref="Z42:AB42"/>
    <mergeCell ref="AI42:AJ42"/>
    <mergeCell ref="Z43:AB43"/>
    <mergeCell ref="AD43:AE43"/>
    <mergeCell ref="Z45:AB45"/>
    <mergeCell ref="B34:B39"/>
    <mergeCell ref="N34:N39"/>
    <mergeCell ref="Z34:AB34"/>
    <mergeCell ref="Z36:AB36"/>
    <mergeCell ref="Z37:AB37"/>
    <mergeCell ref="AD37:AE37"/>
    <mergeCell ref="Z38:AB38"/>
    <mergeCell ref="Z39:AB39"/>
    <mergeCell ref="B16:B21"/>
    <mergeCell ref="B28:B33"/>
    <mergeCell ref="N28:N33"/>
    <mergeCell ref="AB31:AC31"/>
    <mergeCell ref="AB32:AC32"/>
    <mergeCell ref="Z33:AB33"/>
    <mergeCell ref="B22:B27"/>
    <mergeCell ref="N22:N27"/>
    <mergeCell ref="Z22:AC22"/>
    <mergeCell ref="Z23:AC23"/>
    <mergeCell ref="Z24:AC24"/>
    <mergeCell ref="Z25:AC25"/>
    <mergeCell ref="Z26:AC26"/>
    <mergeCell ref="Z27:AC27"/>
    <mergeCell ref="N16:N21"/>
    <mergeCell ref="Z16:AA16"/>
    <mergeCell ref="Z20:AC20"/>
    <mergeCell ref="Z21:AC21"/>
    <mergeCell ref="AE16:AG16"/>
    <mergeCell ref="AH16:AQ16"/>
    <mergeCell ref="Z17:AA17"/>
    <mergeCell ref="AG17:AH17"/>
    <mergeCell ref="AJ17:AM17"/>
    <mergeCell ref="Z18:AA18"/>
    <mergeCell ref="Z14:AA14"/>
    <mergeCell ref="AE14:AG14"/>
    <mergeCell ref="AK14:AL14"/>
    <mergeCell ref="AM14:AO14"/>
    <mergeCell ref="Z15:AA15"/>
    <mergeCell ref="AE15:AG15"/>
    <mergeCell ref="AE12:AG12"/>
    <mergeCell ref="AJ12:AK12"/>
    <mergeCell ref="AM12:AO12"/>
    <mergeCell ref="Z13:AA13"/>
    <mergeCell ref="AE13:AG13"/>
    <mergeCell ref="AM13:AO13"/>
    <mergeCell ref="AN9:AP9"/>
    <mergeCell ref="B10:B15"/>
    <mergeCell ref="N10:N15"/>
    <mergeCell ref="Z10:AA10"/>
    <mergeCell ref="AE10:AG10"/>
    <mergeCell ref="AJ10:AK10"/>
    <mergeCell ref="Z11:AA11"/>
    <mergeCell ref="AE11:AG11"/>
    <mergeCell ref="AM11:AO11"/>
    <mergeCell ref="Z12:AA12"/>
    <mergeCell ref="Z7:AA7"/>
    <mergeCell ref="AE7:AG7"/>
    <mergeCell ref="Z8:AA8"/>
    <mergeCell ref="AE8:AG8"/>
    <mergeCell ref="AJ8:AK8"/>
    <mergeCell ref="Q9:S9"/>
    <mergeCell ref="Z9:AA9"/>
    <mergeCell ref="AE9:AG9"/>
    <mergeCell ref="AH9:AI9"/>
    <mergeCell ref="AJ9:AK9"/>
    <mergeCell ref="AJ5:AM5"/>
    <mergeCell ref="B6:J6"/>
    <mergeCell ref="N6:V6"/>
    <mergeCell ref="Z6:AB6"/>
    <mergeCell ref="AD6:AF6"/>
    <mergeCell ref="AH6:AI6"/>
    <mergeCell ref="AJ6:AM6"/>
    <mergeCell ref="Z4:AB4"/>
    <mergeCell ref="AD4:AE4"/>
    <mergeCell ref="AG4:AH4"/>
    <mergeCell ref="U5:V5"/>
    <mergeCell ref="Z5:AA5"/>
    <mergeCell ref="AB5:AC5"/>
    <mergeCell ref="V1:X1"/>
    <mergeCell ref="D2:T2"/>
    <mergeCell ref="V2:X2"/>
    <mergeCell ref="AD2:AI2"/>
    <mergeCell ref="AK2:AO2"/>
    <mergeCell ref="Z3:AB3"/>
    <mergeCell ref="D4:P4"/>
    <mergeCell ref="Q4:T4"/>
    <mergeCell ref="V4:X4"/>
    <mergeCell ref="AW89:AX89"/>
    <mergeCell ref="AY89:AZ89"/>
    <mergeCell ref="AW90:AX90"/>
    <mergeCell ref="AY90:AZ90"/>
    <mergeCell ref="AW91:AX91"/>
    <mergeCell ref="AY91:AZ91"/>
    <mergeCell ref="AW92:AX92"/>
    <mergeCell ref="AY92:AZ92"/>
    <mergeCell ref="AW93:AX93"/>
    <mergeCell ref="AY93:AZ93"/>
    <mergeCell ref="AW99:AX99"/>
    <mergeCell ref="AY99:AZ99"/>
    <mergeCell ref="AW100:AX100"/>
    <mergeCell ref="AY100:AZ100"/>
    <mergeCell ref="AY105:BA105"/>
    <mergeCell ref="AY106:BA106"/>
    <mergeCell ref="AY107:BA107"/>
    <mergeCell ref="AZ108:BA108"/>
    <mergeCell ref="AW94:AX94"/>
    <mergeCell ref="AY94:AZ94"/>
    <mergeCell ref="AW95:AX95"/>
    <mergeCell ref="AY95:AZ95"/>
    <mergeCell ref="AW96:AX96"/>
    <mergeCell ref="AY96:AZ96"/>
    <mergeCell ref="AW97:AX97"/>
    <mergeCell ref="AY97:AZ97"/>
    <mergeCell ref="AW98:AX98"/>
    <mergeCell ref="AY98:AZ98"/>
  </mergeCells>
  <conditionalFormatting sqref="D10:J10 P34:V34 D34:H34 J34">
    <cfRule type="cellIs" dxfId="40" priority="43" stopIfTrue="1" operator="equal">
      <formula>1</formula>
    </cfRule>
  </conditionalFormatting>
  <conditionalFormatting sqref="P40:V41">
    <cfRule type="cellIs" dxfId="39" priority="40" stopIfTrue="1" operator="equal">
      <formula>6</formula>
    </cfRule>
    <cfRule type="cellIs" dxfId="38" priority="41" stopIfTrue="1" operator="equal">
      <formula>8</formula>
    </cfRule>
  </conditionalFormatting>
  <conditionalFormatting sqref="H28:H31 E32:F32">
    <cfRule type="cellIs" dxfId="37" priority="38" stopIfTrue="1" operator="equal">
      <formula>$AJ$37</formula>
    </cfRule>
  </conditionalFormatting>
  <conditionalFormatting sqref="H25:H31">
    <cfRule type="cellIs" dxfId="36" priority="25" stopIfTrue="1" operator="equal">
      <formula>$AC$38</formula>
    </cfRule>
  </conditionalFormatting>
  <conditionalFormatting sqref="P43:V44">
    <cfRule type="cellIs" dxfId="35" priority="36" stopIfTrue="1" operator="equal">
      <formula>25</formula>
    </cfRule>
    <cfRule type="cellIs" priority="37" stopIfTrue="1" operator="equal">
      <formula>"="</formula>
    </cfRule>
  </conditionalFormatting>
  <conditionalFormatting sqref="P29:V30">
    <cfRule type="cellIs" dxfId="34" priority="34" stopIfTrue="1" operator="equal">
      <formula>9</formula>
    </cfRule>
    <cfRule type="cellIs" dxfId="33" priority="35" stopIfTrue="1" operator="equal">
      <formula>12</formula>
    </cfRule>
  </conditionalFormatting>
  <conditionalFormatting sqref="P22:V23">
    <cfRule type="cellIs" dxfId="32" priority="33" stopIfTrue="1" operator="equal">
      <formula>8</formula>
    </cfRule>
  </conditionalFormatting>
  <conditionalFormatting sqref="P35:V36">
    <cfRule type="cellIs" dxfId="31" priority="32" stopIfTrue="1" operator="equal">
      <formula>11</formula>
    </cfRule>
  </conditionalFormatting>
  <conditionalFormatting sqref="P18:V19">
    <cfRule type="cellIs" dxfId="30" priority="31" stopIfTrue="1" operator="equal">
      <formula>15</formula>
    </cfRule>
  </conditionalFormatting>
  <conditionalFormatting sqref="P17:V19">
    <cfRule type="cellIs" dxfId="29" priority="30" stopIfTrue="1" operator="between">
      <formula>$AF$63</formula>
      <formula>$AF$67</formula>
    </cfRule>
  </conditionalFormatting>
  <conditionalFormatting sqref="D12:J13">
    <cfRule type="cellIs" dxfId="28" priority="29" stopIfTrue="1" operator="between">
      <formula>$AE$18</formula>
      <formula>$AE$19</formula>
    </cfRule>
  </conditionalFormatting>
  <conditionalFormatting sqref="D33:J33 G32:J32 D34:I34">
    <cfRule type="cellIs" dxfId="27" priority="27" stopIfTrue="1" operator="equal">
      <formula>$AB$50</formula>
    </cfRule>
  </conditionalFormatting>
  <conditionalFormatting sqref="D34:J34">
    <cfRule type="cellIs" dxfId="26" priority="6" stopIfTrue="1" operator="equal">
      <formula>$AB$51</formula>
    </cfRule>
  </conditionalFormatting>
  <conditionalFormatting sqref="D24:J26 D27:E27">
    <cfRule type="cellIs" dxfId="25" priority="26" stopIfTrue="1" operator="between">
      <formula>$AM$35</formula>
      <formula>$AM$36</formula>
    </cfRule>
  </conditionalFormatting>
  <conditionalFormatting sqref="D28:J33">
    <cfRule type="cellIs" dxfId="24" priority="39" stopIfTrue="1" operator="between">
      <formula>$AO$35</formula>
      <formula>$AO$36</formula>
    </cfRule>
  </conditionalFormatting>
  <conditionalFormatting sqref="J28:J31">
    <cfRule type="cellIs" dxfId="23" priority="24" stopIfTrue="1" operator="equal">
      <formula>$AJ$37</formula>
    </cfRule>
  </conditionalFormatting>
  <conditionalFormatting sqref="H24:J24 D25:G25">
    <cfRule type="cellIs" dxfId="22" priority="23" stopIfTrue="1" operator="equal">
      <formula>19</formula>
    </cfRule>
  </conditionalFormatting>
  <conditionalFormatting sqref="G28:G31">
    <cfRule type="cellIs" dxfId="21" priority="22" stopIfTrue="1" operator="equal">
      <formula>$AD$35</formula>
    </cfRule>
  </conditionalFormatting>
  <conditionalFormatting sqref="D28:D34">
    <cfRule type="cellIs" dxfId="20" priority="21" operator="equal">
      <formula>$AA$41</formula>
    </cfRule>
  </conditionalFormatting>
  <conditionalFormatting sqref="D26:D27">
    <cfRule type="cellIs" dxfId="19" priority="19" operator="equal">
      <formula>$AC$36</formula>
    </cfRule>
    <cfRule type="cellIs" dxfId="18" priority="20" stopIfTrue="1" operator="equal">
      <formula>$AA$41</formula>
    </cfRule>
  </conditionalFormatting>
  <conditionalFormatting sqref="D32:J32 D33">
    <cfRule type="cellIs" dxfId="17" priority="18" stopIfTrue="1" operator="equal">
      <formula>$AE$50</formula>
    </cfRule>
  </conditionalFormatting>
  <conditionalFormatting sqref="J25:J26">
    <cfRule type="cellIs" dxfId="16" priority="17" operator="equal">
      <formula>$AG$30</formula>
    </cfRule>
  </conditionalFormatting>
  <conditionalFormatting sqref="F16:F21">
    <cfRule type="cellIs" dxfId="15" priority="16" operator="equal">
      <formula>$AC$30</formula>
    </cfRule>
  </conditionalFormatting>
  <conditionalFormatting sqref="F22:F27">
    <cfRule type="cellIs" dxfId="14" priority="15" stopIfTrue="1" operator="equal">
      <formula>$AB$32</formula>
    </cfRule>
  </conditionalFormatting>
  <conditionalFormatting sqref="AF42 G32 J31:J32">
    <cfRule type="cellIs" dxfId="13" priority="14" operator="equal">
      <formula>$AF$39</formula>
    </cfRule>
  </conditionalFormatting>
  <conditionalFormatting sqref="G34:G38 J34:J38">
    <cfRule type="cellIs" dxfId="12" priority="12" stopIfTrue="1" operator="equal">
      <formula>$AI$38</formula>
    </cfRule>
    <cfRule type="cellIs" dxfId="11" priority="13" stopIfTrue="1" operator="equal">
      <formula>$AF$40</formula>
    </cfRule>
  </conditionalFormatting>
  <conditionalFormatting sqref="G40 J40">
    <cfRule type="cellIs" dxfId="10" priority="11" stopIfTrue="1" operator="equal">
      <formula>$AF$41</formula>
    </cfRule>
  </conditionalFormatting>
  <conditionalFormatting sqref="G40:G43 J40:J43">
    <cfRule type="cellIs" dxfId="9" priority="10" stopIfTrue="1" operator="equal">
      <formula>$AI$40</formula>
    </cfRule>
  </conditionalFormatting>
  <conditionalFormatting sqref="J35:J38">
    <cfRule type="cellIs" dxfId="8" priority="9" stopIfTrue="1" operator="equal">
      <formula>$AL$41</formula>
    </cfRule>
  </conditionalFormatting>
  <conditionalFormatting sqref="J40:J42">
    <cfRule type="cellIs" dxfId="7" priority="8" stopIfTrue="1" operator="equal">
      <formula>$AL$42</formula>
    </cfRule>
  </conditionalFormatting>
  <conditionalFormatting sqref="D10:J10 D11:H11">
    <cfRule type="cellIs" dxfId="6" priority="45" stopIfTrue="1" operator="between">
      <formula>1</formula>
      <formula>6</formula>
    </cfRule>
  </conditionalFormatting>
  <conditionalFormatting sqref="D34:J34 D35">
    <cfRule type="cellIs" dxfId="5" priority="28" operator="between">
      <formula>$AR$35</formula>
      <formula>$AR$36</formula>
    </cfRule>
  </conditionalFormatting>
  <conditionalFormatting sqref="D43:J44 D45">
    <cfRule type="cellIs" dxfId="4" priority="5" operator="between">
      <formula>23</formula>
      <formula>30</formula>
    </cfRule>
  </conditionalFormatting>
  <conditionalFormatting sqref="P10:V21">
    <cfRule type="cellIs" dxfId="3" priority="4" operator="between">
      <formula>1</formula>
      <formula>31</formula>
    </cfRule>
  </conditionalFormatting>
  <conditionalFormatting sqref="V40 P41:U41">
    <cfRule type="cellIs" dxfId="2" priority="3" operator="equal">
      <formula>7</formula>
    </cfRule>
  </conditionalFormatting>
  <conditionalFormatting sqref="I10:J10 D11:H11">
    <cfRule type="cellIs" dxfId="1" priority="7" stopIfTrue="1" operator="equal">
      <formula>6</formula>
    </cfRule>
  </conditionalFormatting>
  <conditionalFormatting sqref="D91:D121 F91:F119 H91:H121 J91:J120 L91:L121 N91:N120 P91:P121 R91:R121 T91:T120 V91:V121 X91:X120 Z91:Z121">
    <cfRule type="cellIs" dxfId="0" priority="2" stopIfTrue="1" operator="equal">
      <formula>$D$87</formula>
    </cfRule>
  </conditionalFormatting>
  <pageMargins left="0.7" right="0.7" top="0.75" bottom="0.75" header="0.3" footer="0.3"/>
  <pageSetup paperSize="9" orientation="portrait" r:id="rId1"/>
  <ignoredErrors>
    <ignoredError sqref="AB11 AB13 AB17 BA37 AW38 BB39 AX40 BA41 AY42 BB43 AZ44 BC45 AY46 AW47 AZ48 BC49 BA50 AW51 AZ52 AX53 BA54 AY55 BJ87 AC90 AE90:AG90 AJ90:AK90 AB119 AA127 AD128 AB129:AB133 AE130 Y132 Z134 AC135 AD137 Z138 AC139 AA140:AA144 AD141 AE143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11"/>
  <dimension ref="A1:AA428"/>
  <sheetViews>
    <sheetView showGridLines="0" showRowColHeaders="0" topLeftCell="AD1" zoomScale="85" zoomScaleNormal="85" workbookViewId="0">
      <selection activeCell="AD1" sqref="AD1"/>
    </sheetView>
  </sheetViews>
  <sheetFormatPr baseColWidth="10" defaultColWidth="6.77734375" defaultRowHeight="13.2"/>
  <cols>
    <col min="1" max="1" width="17.5546875" hidden="1" customWidth="1"/>
    <col min="2" max="4" width="0" hidden="1" customWidth="1"/>
    <col min="5" max="5" width="12.44140625" hidden="1" customWidth="1"/>
    <col min="6" max="6" width="9.44140625" hidden="1" customWidth="1"/>
    <col min="7" max="7" width="8" hidden="1" customWidth="1"/>
    <col min="8" max="8" width="0" hidden="1" customWidth="1"/>
    <col min="9" max="9" width="13.33203125" hidden="1" customWidth="1"/>
    <col min="10" max="10" width="0" hidden="1" customWidth="1"/>
    <col min="11" max="11" width="15.6640625" hidden="1" customWidth="1"/>
    <col min="12" max="13" width="0" hidden="1" customWidth="1"/>
    <col min="14" max="14" width="10.6640625" hidden="1" customWidth="1"/>
    <col min="15" max="15" width="17.6640625" hidden="1" customWidth="1"/>
    <col min="16" max="16" width="10" hidden="1" customWidth="1"/>
    <col min="17" max="17" width="8.44140625" hidden="1" customWidth="1"/>
    <col min="18" max="18" width="6.21875" hidden="1" customWidth="1"/>
    <col min="19" max="19" width="9.6640625" hidden="1" customWidth="1"/>
    <col min="20" max="20" width="20.6640625" hidden="1" customWidth="1"/>
    <col min="21" max="21" width="12.88671875" hidden="1" customWidth="1"/>
    <col min="22" max="22" width="0" hidden="1" customWidth="1"/>
    <col min="23" max="23" width="12.6640625" hidden="1" customWidth="1"/>
    <col min="24" max="24" width="0" hidden="1" customWidth="1"/>
    <col min="25" max="25" width="10.44140625" hidden="1" customWidth="1"/>
    <col min="26" max="26" width="16.33203125" hidden="1" customWidth="1"/>
    <col min="27" max="27" width="16.21875" hidden="1" customWidth="1"/>
    <col min="28" max="29" width="0" hidden="1" customWidth="1"/>
  </cols>
  <sheetData>
    <row r="1" spans="1:27" ht="25.8" customHeight="1">
      <c r="A1" s="434" t="s">
        <v>634</v>
      </c>
      <c r="V1" s="231" t="s">
        <v>635</v>
      </c>
      <c r="W1" s="231" t="s">
        <v>636</v>
      </c>
    </row>
    <row r="2" spans="1:27" ht="21">
      <c r="A2" s="435" t="s">
        <v>637</v>
      </c>
      <c r="V2" s="231" t="s">
        <v>33</v>
      </c>
      <c r="W2" s="470">
        <f>E36</f>
        <v>2024</v>
      </c>
    </row>
    <row r="3" spans="1:27" ht="15">
      <c r="A3" s="435" t="s">
        <v>638</v>
      </c>
      <c r="Q3" t="s">
        <v>639</v>
      </c>
      <c r="S3" s="471" t="s">
        <v>737</v>
      </c>
      <c r="V3" s="436" t="s">
        <v>74</v>
      </c>
      <c r="W3" s="437">
        <f>MOD(W2,19)</f>
        <v>10</v>
      </c>
    </row>
    <row r="4" spans="1:27" ht="15">
      <c r="A4" s="435"/>
      <c r="S4" s="231" t="s">
        <v>738</v>
      </c>
      <c r="V4" s="436" t="s">
        <v>75</v>
      </c>
      <c r="W4" s="255">
        <f>INT(W2/100)</f>
        <v>20</v>
      </c>
    </row>
    <row r="5" spans="1:27" ht="15">
      <c r="A5" s="435" t="s">
        <v>640</v>
      </c>
      <c r="S5" s="471" t="s">
        <v>739</v>
      </c>
      <c r="V5" s="436" t="s">
        <v>5</v>
      </c>
      <c r="W5" s="437">
        <f>MOD(W2,100)</f>
        <v>24</v>
      </c>
    </row>
    <row r="6" spans="1:27" ht="15">
      <c r="A6" s="435" t="s">
        <v>641</v>
      </c>
      <c r="S6" s="471" t="s">
        <v>740</v>
      </c>
      <c r="V6" s="436" t="s">
        <v>76</v>
      </c>
      <c r="W6" s="216">
        <f>INT(W4/4)</f>
        <v>5</v>
      </c>
    </row>
    <row r="7" spans="1:27" ht="15.6" thickBot="1">
      <c r="A7" s="435" t="s">
        <v>642</v>
      </c>
      <c r="S7" s="471" t="s">
        <v>741</v>
      </c>
      <c r="V7" s="436" t="s">
        <v>52</v>
      </c>
      <c r="W7" s="255">
        <f>MOD(W4,4)</f>
        <v>0</v>
      </c>
    </row>
    <row r="8" spans="1:27" ht="28.8" thickTop="1">
      <c r="A8" s="435"/>
      <c r="S8" s="471" t="s">
        <v>742</v>
      </c>
      <c r="V8" s="436" t="s">
        <v>77</v>
      </c>
      <c r="W8" s="216">
        <f>INT((W4+8)/25)</f>
        <v>1</v>
      </c>
      <c r="X8" s="472" t="s">
        <v>34</v>
      </c>
      <c r="Y8" s="473"/>
      <c r="Z8" s="473"/>
      <c r="AA8" s="474"/>
    </row>
    <row r="9" spans="1:27" ht="28.2">
      <c r="A9" s="435" t="s">
        <v>643</v>
      </c>
      <c r="S9" s="471" t="s">
        <v>743</v>
      </c>
      <c r="V9" s="436" t="s">
        <v>0</v>
      </c>
      <c r="W9" s="216">
        <f>INT((W4-W8+1)/3)</f>
        <v>6</v>
      </c>
      <c r="X9" s="475">
        <f>Y16</f>
        <v>31</v>
      </c>
      <c r="Y9" s="476"/>
      <c r="Z9" s="476" t="s">
        <v>660</v>
      </c>
      <c r="AA9" s="477" t="str">
        <f>IF($Y$15=4,"ABRIL","MARZO")</f>
        <v>MARZO</v>
      </c>
    </row>
    <row r="10" spans="1:27" ht="28.8" thickBot="1">
      <c r="A10" s="435" t="s">
        <v>644</v>
      </c>
      <c r="S10" s="471" t="s">
        <v>744</v>
      </c>
      <c r="V10" s="436" t="s">
        <v>8</v>
      </c>
      <c r="W10" s="216">
        <f>MOD((19*W3+W4-W6-W9+15),30)</f>
        <v>4</v>
      </c>
      <c r="X10" s="478"/>
      <c r="Y10" s="479"/>
      <c r="Z10" s="479"/>
      <c r="AA10" s="480"/>
    </row>
    <row r="11" spans="1:27" ht="15.6" thickTop="1">
      <c r="A11" s="435"/>
      <c r="S11" s="471" t="s">
        <v>745</v>
      </c>
      <c r="V11" s="436" t="s">
        <v>1</v>
      </c>
      <c r="W11" s="216">
        <f>INT(W5/4)</f>
        <v>6</v>
      </c>
    </row>
    <row r="12" spans="1:27" ht="15">
      <c r="A12" s="435" t="s">
        <v>645</v>
      </c>
      <c r="S12" s="471" t="s">
        <v>746</v>
      </c>
      <c r="V12" s="436" t="s">
        <v>78</v>
      </c>
      <c r="W12" s="437">
        <f>MOD(W5,4)</f>
        <v>0</v>
      </c>
      <c r="AA12" t="s">
        <v>666</v>
      </c>
    </row>
    <row r="13" spans="1:27" ht="15.6">
      <c r="A13" s="435" t="s">
        <v>646</v>
      </c>
      <c r="S13" s="471" t="s">
        <v>747</v>
      </c>
      <c r="V13" s="436" t="s">
        <v>79</v>
      </c>
      <c r="W13" s="216">
        <f>MOD((32+2*W7+2*W11-W10-W12),7)</f>
        <v>5</v>
      </c>
      <c r="AA13" t="s">
        <v>668</v>
      </c>
    </row>
    <row r="14" spans="1:27">
      <c r="C14" t="s">
        <v>287</v>
      </c>
      <c r="D14">
        <v>2010</v>
      </c>
      <c r="E14">
        <f>MOD(D14,19)</f>
        <v>15</v>
      </c>
      <c r="G14" s="245" t="s">
        <v>488</v>
      </c>
      <c r="J14" s="438" t="s">
        <v>647</v>
      </c>
      <c r="S14" s="471" t="s">
        <v>748</v>
      </c>
      <c r="V14" s="436" t="s">
        <v>80</v>
      </c>
      <c r="W14" s="216">
        <f>INT((W3+11*W10+22*W13)/451)</f>
        <v>0</v>
      </c>
      <c r="AA14" t="s">
        <v>669</v>
      </c>
    </row>
    <row r="15" spans="1:27">
      <c r="E15">
        <f>E14*11</f>
        <v>165</v>
      </c>
      <c r="F15">
        <f>MOD(E15,30)</f>
        <v>15</v>
      </c>
      <c r="G15">
        <f>F15-1</f>
        <v>14</v>
      </c>
      <c r="S15" s="471" t="s">
        <v>749</v>
      </c>
      <c r="V15" s="436" t="s">
        <v>81</v>
      </c>
      <c r="W15" s="216">
        <f>INT((W10+W13-7*W14+114)/31)</f>
        <v>3</v>
      </c>
      <c r="X15" s="231" t="s">
        <v>424</v>
      </c>
      <c r="Y15">
        <f>W15</f>
        <v>3</v>
      </c>
      <c r="AA15" t="s">
        <v>670</v>
      </c>
    </row>
    <row r="16" spans="1:27" ht="15.6">
      <c r="I16" s="665" t="str">
        <f>E37</f>
        <v>24</v>
      </c>
      <c r="J16" s="666"/>
      <c r="K16" s="45">
        <f>L16/4</f>
        <v>6</v>
      </c>
      <c r="L16" s="724" t="str">
        <f>I16</f>
        <v>24</v>
      </c>
      <c r="M16" s="671"/>
      <c r="N16" s="45">
        <f>INT(L16/4)</f>
        <v>6</v>
      </c>
      <c r="P16">
        <f>1995+38</f>
        <v>2033</v>
      </c>
      <c r="S16" s="231" t="s">
        <v>750</v>
      </c>
      <c r="U16" s="439" t="s">
        <v>648</v>
      </c>
      <c r="V16" s="436" t="s">
        <v>4</v>
      </c>
      <c r="W16" s="216">
        <f>MOD((W10+W13-7*W14+114),31)</f>
        <v>30</v>
      </c>
      <c r="X16" s="439" t="s">
        <v>655</v>
      </c>
      <c r="Y16">
        <f>W16+1</f>
        <v>31</v>
      </c>
      <c r="AA16" t="s">
        <v>671</v>
      </c>
    </row>
    <row r="17" spans="1:26">
      <c r="I17" s="40"/>
      <c r="J17" s="67">
        <f>MOD(L16,400)</f>
        <v>24</v>
      </c>
      <c r="K17" s="47">
        <f>MOD(L16,100)</f>
        <v>24</v>
      </c>
      <c r="L17" s="43"/>
      <c r="M17" s="47">
        <f>MOD(I16,4)</f>
        <v>0</v>
      </c>
      <c r="N17" s="43"/>
      <c r="T17" s="440">
        <v>42735</v>
      </c>
      <c r="U17" s="440">
        <v>42370</v>
      </c>
    </row>
    <row r="18" spans="1:26">
      <c r="D18">
        <v>1</v>
      </c>
      <c r="E18">
        <v>2</v>
      </c>
      <c r="L18" s="43"/>
      <c r="M18" s="661">
        <f>I16-1900</f>
        <v>-1876</v>
      </c>
      <c r="N18" s="662"/>
      <c r="T18" s="203">
        <f>MOD((MOD((11*$A$64+20+$A$67-$A$66),30)+30),30)</f>
        <v>19</v>
      </c>
      <c r="W18" s="231" t="s">
        <v>751</v>
      </c>
      <c r="Y18" s="218" t="s">
        <v>314</v>
      </c>
    </row>
    <row r="19" spans="1:26">
      <c r="D19">
        <v>1</v>
      </c>
      <c r="E19">
        <v>0</v>
      </c>
      <c r="J19" s="43">
        <f>IF(AND(K16=N16,K17&lt;&gt;0,L16&lt;&gt;1900),1,IF(J17=0,1,0))</f>
        <v>1</v>
      </c>
      <c r="K19" s="44" t="s">
        <v>501</v>
      </c>
      <c r="O19" s="49"/>
      <c r="P19" s="49"/>
      <c r="Q19" s="49"/>
      <c r="T19" s="439" t="s">
        <v>648</v>
      </c>
    </row>
    <row r="20" spans="1:26">
      <c r="E20">
        <v>0</v>
      </c>
      <c r="J20" s="43">
        <f>IF(OR(AND(M17=0,K17&lt;&gt;0),J17=0),1,0)</f>
        <v>1</v>
      </c>
      <c r="K20" s="49"/>
      <c r="M20" s="439" t="s">
        <v>649</v>
      </c>
      <c r="O20" s="725" t="s">
        <v>650</v>
      </c>
      <c r="P20" s="726"/>
      <c r="Q20" s="50" t="s">
        <v>651</v>
      </c>
      <c r="R20" s="439" t="s">
        <v>652</v>
      </c>
      <c r="S20" s="439" t="s">
        <v>653</v>
      </c>
      <c r="T20" s="439" t="s">
        <v>654</v>
      </c>
      <c r="W20" s="40"/>
      <c r="X20" s="227" t="s">
        <v>315</v>
      </c>
      <c r="Y20" s="460">
        <v>42370</v>
      </c>
      <c r="Z20" s="41"/>
    </row>
    <row r="21" spans="1:26">
      <c r="E21">
        <v>17</v>
      </c>
      <c r="J21" s="43"/>
      <c r="K21" s="49"/>
      <c r="L21" s="222">
        <f>E36</f>
        <v>2024</v>
      </c>
      <c r="M21" s="211">
        <f>MOD($L21+1,19)</f>
        <v>11</v>
      </c>
      <c r="N21">
        <v>0</v>
      </c>
      <c r="O21" s="440"/>
      <c r="P21" s="93">
        <f>INT($L21/100)+1</f>
        <v>21</v>
      </c>
      <c r="Q21" s="203">
        <f>INT((3*$P21)/4)-12</f>
        <v>3</v>
      </c>
      <c r="R21" s="203">
        <f>INT((8*$P21+5)/25)-5</f>
        <v>1</v>
      </c>
      <c r="S21" s="203">
        <f>INT(($L21*5)/4)-10-Q21</f>
        <v>2517</v>
      </c>
      <c r="T21" s="203">
        <f>IF(L21&gt;1582,MOD((MOD((11*$M21+20+$R21-$Q21),30)+30),30),Z21)</f>
        <v>19</v>
      </c>
      <c r="U21">
        <f>IF(L21&gt;1582,MOD(11*(M21-1),30),T21+1)</f>
        <v>20</v>
      </c>
      <c r="W21" s="67">
        <f>luna!$A$64</f>
        <v>11</v>
      </c>
      <c r="X21" s="225" t="s">
        <v>752</v>
      </c>
      <c r="Y21" s="226" t="s">
        <v>686</v>
      </c>
      <c r="Z21" s="203">
        <f>Y44</f>
        <v>28</v>
      </c>
    </row>
    <row r="22" spans="1:26">
      <c r="E22">
        <f>SUM(E18:E21)</f>
        <v>19</v>
      </c>
      <c r="F22">
        <f>E22*11</f>
        <v>209</v>
      </c>
      <c r="G22">
        <f>F22+D18+D19</f>
        <v>211</v>
      </c>
      <c r="H22">
        <f>MOD(G22,30)</f>
        <v>1</v>
      </c>
      <c r="J22" s="43"/>
      <c r="K22" s="215">
        <f>MOD(N29,7)</f>
        <v>6</v>
      </c>
      <c r="M22" t="s">
        <v>656</v>
      </c>
      <c r="N22" s="203" t="s">
        <v>648</v>
      </c>
      <c r="O22" s="43" t="s">
        <v>657</v>
      </c>
      <c r="P22" s="643"/>
      <c r="Q22" s="643"/>
      <c r="T22" s="203"/>
      <c r="W22" s="40" t="s">
        <v>427</v>
      </c>
      <c r="X22" s="225" t="s">
        <v>753</v>
      </c>
      <c r="Y22" s="226" t="s">
        <v>754</v>
      </c>
      <c r="Z22" s="41"/>
    </row>
    <row r="23" spans="1:26">
      <c r="L23">
        <v>1995</v>
      </c>
      <c r="M23" s="211">
        <f>MOD($L23,19)+1</f>
        <v>1</v>
      </c>
      <c r="N23">
        <v>0</v>
      </c>
      <c r="O23" s="440">
        <v>39916</v>
      </c>
      <c r="P23" s="93">
        <f>INT($L23/100)+1</f>
        <v>20</v>
      </c>
      <c r="Q23" s="203">
        <f>INT((3*$P23)/4)-12</f>
        <v>3</v>
      </c>
      <c r="R23" s="203">
        <f>INT((8*$P23+5)/25)-5</f>
        <v>1</v>
      </c>
      <c r="S23" s="203">
        <f>INT(($L23*5)/4)-10-Q23</f>
        <v>2480</v>
      </c>
      <c r="T23" s="203">
        <f>IF(L23&gt;1582,MOD((MOD((11*$M23+20+$R23-$Q23),30)+30),30),Y23)</f>
        <v>29</v>
      </c>
      <c r="U23">
        <f t="shared" ref="U23:U60" si="0">MOD(11*(M23-1),30)</f>
        <v>0</v>
      </c>
      <c r="W23" s="40">
        <v>1</v>
      </c>
      <c r="X23" s="218">
        <v>0</v>
      </c>
      <c r="Y23" s="38">
        <f t="shared" ref="Y23:Y41" si="1">IF(X23+8&lt;30,X23+8,X23+8-30)</f>
        <v>8</v>
      </c>
      <c r="Z23" s="41"/>
    </row>
    <row r="24" spans="1:26">
      <c r="L24">
        <v>1996</v>
      </c>
      <c r="M24" s="211">
        <f t="shared" ref="M24:M60" si="2">MOD($L24,19)+1</f>
        <v>2</v>
      </c>
      <c r="N24">
        <f>U24</f>
        <v>11</v>
      </c>
      <c r="O24" s="440">
        <v>39906</v>
      </c>
      <c r="P24" s="93">
        <f t="shared" ref="P24:P60" si="3">INT($L24/100)+1</f>
        <v>20</v>
      </c>
      <c r="Q24" s="203">
        <f t="shared" ref="Q24:Q60" si="4">INT((3*$P24)/4)-12</f>
        <v>3</v>
      </c>
      <c r="R24" s="203">
        <f t="shared" ref="R24:R60" si="5">INT((8*$P24+5)/25)-5</f>
        <v>1</v>
      </c>
      <c r="S24" s="203">
        <f t="shared" ref="S24:S60" si="6">INT(($L24*5)/4)-10-Q24</f>
        <v>2482</v>
      </c>
      <c r="T24" s="203">
        <f t="shared" ref="T24:T41" si="7">IF(L24&gt;1582,MOD((MOD((11*$M24+20+$R24-$Q24),30)+30),30),Y24)</f>
        <v>10</v>
      </c>
      <c r="U24">
        <f t="shared" si="0"/>
        <v>11</v>
      </c>
      <c r="W24" s="40">
        <v>2</v>
      </c>
      <c r="X24" s="218">
        <v>11</v>
      </c>
      <c r="Y24" s="38">
        <f t="shared" si="1"/>
        <v>19</v>
      </c>
      <c r="Z24" s="41"/>
    </row>
    <row r="25" spans="1:26" ht="15.6">
      <c r="A25" s="441" t="s">
        <v>658</v>
      </c>
      <c r="L25">
        <v>1997</v>
      </c>
      <c r="M25" s="211">
        <f t="shared" si="2"/>
        <v>3</v>
      </c>
      <c r="N25">
        <f t="shared" ref="N25:N60" si="8">U25</f>
        <v>22</v>
      </c>
      <c r="O25" s="440">
        <v>39895</v>
      </c>
      <c r="P25" s="93">
        <f t="shared" si="3"/>
        <v>20</v>
      </c>
      <c r="Q25" s="203">
        <f t="shared" si="4"/>
        <v>3</v>
      </c>
      <c r="R25" s="203">
        <f t="shared" si="5"/>
        <v>1</v>
      </c>
      <c r="S25" s="203">
        <f t="shared" si="6"/>
        <v>2483</v>
      </c>
      <c r="T25" s="203">
        <f t="shared" si="7"/>
        <v>21</v>
      </c>
      <c r="U25">
        <f t="shared" si="0"/>
        <v>22</v>
      </c>
      <c r="W25" s="40">
        <v>3</v>
      </c>
      <c r="X25" s="218">
        <v>22</v>
      </c>
      <c r="Y25" s="38">
        <f t="shared" si="1"/>
        <v>0</v>
      </c>
      <c r="Z25" s="41"/>
    </row>
    <row r="26" spans="1:26" ht="15">
      <c r="A26" s="435" t="s">
        <v>659</v>
      </c>
      <c r="L26">
        <v>1998</v>
      </c>
      <c r="M26" s="211">
        <f t="shared" si="2"/>
        <v>4</v>
      </c>
      <c r="N26">
        <f t="shared" si="8"/>
        <v>3</v>
      </c>
      <c r="O26" s="440">
        <v>39914</v>
      </c>
      <c r="P26" s="93">
        <f t="shared" si="3"/>
        <v>20</v>
      </c>
      <c r="Q26" s="203">
        <f t="shared" si="4"/>
        <v>3</v>
      </c>
      <c r="R26" s="203">
        <f t="shared" si="5"/>
        <v>1</v>
      </c>
      <c r="S26" s="203">
        <f t="shared" si="6"/>
        <v>2484</v>
      </c>
      <c r="T26" s="203">
        <f t="shared" si="7"/>
        <v>2</v>
      </c>
      <c r="U26">
        <f t="shared" si="0"/>
        <v>3</v>
      </c>
      <c r="W26" s="40">
        <v>4</v>
      </c>
      <c r="X26" s="218">
        <v>3</v>
      </c>
      <c r="Y26" s="38">
        <f t="shared" si="1"/>
        <v>11</v>
      </c>
      <c r="Z26" s="41"/>
    </row>
    <row r="27" spans="1:26" ht="15">
      <c r="A27" s="435" t="s">
        <v>661</v>
      </c>
      <c r="L27">
        <v>1999</v>
      </c>
      <c r="M27" s="211">
        <f t="shared" si="2"/>
        <v>5</v>
      </c>
      <c r="N27">
        <f t="shared" si="8"/>
        <v>14</v>
      </c>
      <c r="O27" s="440">
        <v>39902</v>
      </c>
      <c r="P27" s="93">
        <f t="shared" si="3"/>
        <v>20</v>
      </c>
      <c r="Q27" s="203">
        <f t="shared" si="4"/>
        <v>3</v>
      </c>
      <c r="R27" s="203">
        <f t="shared" si="5"/>
        <v>1</v>
      </c>
      <c r="S27" s="203">
        <f t="shared" si="6"/>
        <v>2485</v>
      </c>
      <c r="T27" s="203">
        <f t="shared" si="7"/>
        <v>13</v>
      </c>
      <c r="U27">
        <f t="shared" si="0"/>
        <v>14</v>
      </c>
      <c r="W27" s="40">
        <v>5</v>
      </c>
      <c r="X27" s="218">
        <v>14</v>
      </c>
      <c r="Y27" s="38">
        <f t="shared" si="1"/>
        <v>22</v>
      </c>
      <c r="Z27" s="41"/>
    </row>
    <row r="28" spans="1:26" ht="15">
      <c r="A28" s="435"/>
      <c r="L28">
        <v>2000</v>
      </c>
      <c r="M28" s="211">
        <f t="shared" si="2"/>
        <v>6</v>
      </c>
      <c r="N28">
        <f t="shared" si="8"/>
        <v>25</v>
      </c>
      <c r="O28" s="440">
        <v>39917</v>
      </c>
      <c r="P28" s="93">
        <f t="shared" si="3"/>
        <v>21</v>
      </c>
      <c r="Q28" s="203">
        <f t="shared" si="4"/>
        <v>3</v>
      </c>
      <c r="R28" s="203">
        <f t="shared" si="5"/>
        <v>1</v>
      </c>
      <c r="S28" s="203">
        <f t="shared" si="6"/>
        <v>2487</v>
      </c>
      <c r="T28" s="203">
        <f t="shared" si="7"/>
        <v>24</v>
      </c>
      <c r="U28">
        <f t="shared" si="0"/>
        <v>25</v>
      </c>
      <c r="W28" s="40">
        <v>6</v>
      </c>
      <c r="X28" s="218">
        <v>25</v>
      </c>
      <c r="Y28" s="38">
        <f t="shared" si="1"/>
        <v>3</v>
      </c>
      <c r="Z28" s="41"/>
    </row>
    <row r="29" spans="1:26" ht="15">
      <c r="A29" s="435" t="s">
        <v>662</v>
      </c>
      <c r="L29">
        <v>2001</v>
      </c>
      <c r="M29" s="211">
        <f t="shared" si="2"/>
        <v>7</v>
      </c>
      <c r="N29">
        <f t="shared" si="8"/>
        <v>6</v>
      </c>
      <c r="O29" s="440">
        <v>39911</v>
      </c>
      <c r="P29" s="93">
        <f t="shared" si="3"/>
        <v>21</v>
      </c>
      <c r="Q29" s="203">
        <f t="shared" si="4"/>
        <v>3</v>
      </c>
      <c r="R29" s="203">
        <f t="shared" si="5"/>
        <v>1</v>
      </c>
      <c r="S29" s="203">
        <f t="shared" si="6"/>
        <v>2488</v>
      </c>
      <c r="T29" s="203">
        <f t="shared" si="7"/>
        <v>5</v>
      </c>
      <c r="U29">
        <f t="shared" si="0"/>
        <v>6</v>
      </c>
      <c r="W29" s="40">
        <v>7</v>
      </c>
      <c r="X29" s="218">
        <v>6</v>
      </c>
      <c r="Y29" s="38">
        <f t="shared" si="1"/>
        <v>14</v>
      </c>
      <c r="Z29" s="41"/>
    </row>
    <row r="30" spans="1:26" ht="15">
      <c r="A30" s="435" t="s">
        <v>663</v>
      </c>
      <c r="L30">
        <v>2002</v>
      </c>
      <c r="M30" s="211">
        <f t="shared" si="2"/>
        <v>8</v>
      </c>
      <c r="N30">
        <f t="shared" si="8"/>
        <v>17</v>
      </c>
      <c r="O30" s="440">
        <v>39900</v>
      </c>
      <c r="P30" s="93">
        <f t="shared" si="3"/>
        <v>21</v>
      </c>
      <c r="Q30" s="203">
        <f t="shared" si="4"/>
        <v>3</v>
      </c>
      <c r="R30" s="203">
        <f t="shared" si="5"/>
        <v>1</v>
      </c>
      <c r="S30" s="203">
        <f t="shared" si="6"/>
        <v>2489</v>
      </c>
      <c r="T30" s="203">
        <f t="shared" si="7"/>
        <v>16</v>
      </c>
      <c r="U30">
        <f t="shared" si="0"/>
        <v>17</v>
      </c>
      <c r="W30" s="40">
        <v>8</v>
      </c>
      <c r="X30" s="218">
        <v>17</v>
      </c>
      <c r="Y30" s="38">
        <f t="shared" si="1"/>
        <v>25</v>
      </c>
      <c r="Z30" s="41"/>
    </row>
    <row r="31" spans="1:26" ht="15">
      <c r="A31" s="435" t="s">
        <v>664</v>
      </c>
      <c r="L31">
        <v>2003</v>
      </c>
      <c r="M31" s="211">
        <f t="shared" si="2"/>
        <v>9</v>
      </c>
      <c r="N31">
        <f t="shared" si="8"/>
        <v>28</v>
      </c>
      <c r="O31" s="440">
        <v>39918</v>
      </c>
      <c r="P31" s="93">
        <f t="shared" si="3"/>
        <v>21</v>
      </c>
      <c r="Q31" s="203">
        <f t="shared" si="4"/>
        <v>3</v>
      </c>
      <c r="R31" s="203">
        <f t="shared" si="5"/>
        <v>1</v>
      </c>
      <c r="S31" s="203">
        <f t="shared" si="6"/>
        <v>2490</v>
      </c>
      <c r="T31" s="203">
        <f t="shared" si="7"/>
        <v>27</v>
      </c>
      <c r="U31">
        <f t="shared" si="0"/>
        <v>28</v>
      </c>
      <c r="W31" s="40">
        <v>9</v>
      </c>
      <c r="X31" s="218">
        <v>28</v>
      </c>
      <c r="Y31" s="38">
        <f t="shared" si="1"/>
        <v>6</v>
      </c>
      <c r="Z31" s="41"/>
    </row>
    <row r="32" spans="1:26" ht="15">
      <c r="A32" s="435" t="s">
        <v>665</v>
      </c>
      <c r="J32">
        <v>0</v>
      </c>
      <c r="K32" s="230" t="s">
        <v>319</v>
      </c>
      <c r="L32">
        <v>2004</v>
      </c>
      <c r="M32" s="211">
        <f t="shared" si="2"/>
        <v>10</v>
      </c>
      <c r="N32">
        <f t="shared" si="8"/>
        <v>9</v>
      </c>
      <c r="O32" s="440">
        <v>39908</v>
      </c>
      <c r="P32" s="93">
        <f t="shared" si="3"/>
        <v>21</v>
      </c>
      <c r="Q32" s="203">
        <f t="shared" si="4"/>
        <v>3</v>
      </c>
      <c r="R32" s="203">
        <f t="shared" si="5"/>
        <v>1</v>
      </c>
      <c r="S32" s="203">
        <f t="shared" si="6"/>
        <v>2492</v>
      </c>
      <c r="T32" s="203">
        <f t="shared" si="7"/>
        <v>8</v>
      </c>
      <c r="U32">
        <f t="shared" si="0"/>
        <v>9</v>
      </c>
      <c r="W32" s="40">
        <v>10</v>
      </c>
      <c r="X32" s="218">
        <v>9</v>
      </c>
      <c r="Y32" s="38">
        <f t="shared" si="1"/>
        <v>17</v>
      </c>
      <c r="Z32" s="41"/>
    </row>
    <row r="33" spans="1:26" ht="15">
      <c r="A33" s="435" t="s">
        <v>667</v>
      </c>
      <c r="J33">
        <v>1</v>
      </c>
      <c r="K33" t="s">
        <v>319</v>
      </c>
      <c r="L33">
        <v>2005</v>
      </c>
      <c r="M33" s="211">
        <f t="shared" si="2"/>
        <v>11</v>
      </c>
      <c r="N33">
        <f t="shared" si="8"/>
        <v>20</v>
      </c>
      <c r="O33" s="440">
        <v>39898</v>
      </c>
      <c r="P33" s="93">
        <f t="shared" si="3"/>
        <v>21</v>
      </c>
      <c r="Q33" s="203">
        <f t="shared" si="4"/>
        <v>3</v>
      </c>
      <c r="R33" s="203">
        <f t="shared" si="5"/>
        <v>1</v>
      </c>
      <c r="S33" s="203">
        <f t="shared" si="6"/>
        <v>2493</v>
      </c>
      <c r="T33" s="203">
        <f t="shared" si="7"/>
        <v>19</v>
      </c>
      <c r="U33">
        <f t="shared" si="0"/>
        <v>20</v>
      </c>
      <c r="W33" s="40">
        <v>11</v>
      </c>
      <c r="X33" s="218">
        <v>20</v>
      </c>
      <c r="Y33" s="38">
        <f t="shared" si="1"/>
        <v>28</v>
      </c>
      <c r="Z33" s="41"/>
    </row>
    <row r="34" spans="1:26" ht="15">
      <c r="A34" s="435"/>
      <c r="E34">
        <v>1</v>
      </c>
      <c r="F34">
        <v>1</v>
      </c>
      <c r="J34">
        <v>2</v>
      </c>
      <c r="K34" t="s">
        <v>319</v>
      </c>
      <c r="L34">
        <v>2006</v>
      </c>
      <c r="M34" s="211">
        <f t="shared" si="2"/>
        <v>12</v>
      </c>
      <c r="N34">
        <f t="shared" si="8"/>
        <v>1</v>
      </c>
      <c r="O34" s="440">
        <v>39916</v>
      </c>
      <c r="P34" s="93">
        <f t="shared" si="3"/>
        <v>21</v>
      </c>
      <c r="Q34" s="203">
        <f t="shared" si="4"/>
        <v>3</v>
      </c>
      <c r="R34" s="203">
        <f t="shared" si="5"/>
        <v>1</v>
      </c>
      <c r="S34" s="203">
        <f t="shared" si="6"/>
        <v>2494</v>
      </c>
      <c r="T34" s="203">
        <f t="shared" si="7"/>
        <v>0</v>
      </c>
      <c r="U34">
        <f t="shared" si="0"/>
        <v>1</v>
      </c>
      <c r="W34" s="40">
        <v>12</v>
      </c>
      <c r="X34" s="218">
        <v>1</v>
      </c>
      <c r="Y34" s="38">
        <f t="shared" si="1"/>
        <v>9</v>
      </c>
      <c r="Z34" s="41"/>
    </row>
    <row r="35" spans="1:26" ht="15.6">
      <c r="A35" s="223" t="s">
        <v>288</v>
      </c>
      <c r="B35" s="203">
        <v>1</v>
      </c>
      <c r="C35" s="224" t="s">
        <v>289</v>
      </c>
      <c r="D35" s="203">
        <v>0</v>
      </c>
      <c r="E35" t="s">
        <v>287</v>
      </c>
      <c r="F35" s="222">
        <f>E36</f>
        <v>2024</v>
      </c>
      <c r="G35" s="222">
        <f>MOD(E36,19)</f>
        <v>10</v>
      </c>
      <c r="I35" s="245" t="s">
        <v>488</v>
      </c>
      <c r="J35">
        <v>3</v>
      </c>
      <c r="K35" t="s">
        <v>319</v>
      </c>
      <c r="L35">
        <v>2007</v>
      </c>
      <c r="M35" s="211">
        <f t="shared" si="2"/>
        <v>13</v>
      </c>
      <c r="N35">
        <f t="shared" si="8"/>
        <v>12</v>
      </c>
      <c r="O35" s="440">
        <v>39904</v>
      </c>
      <c r="P35" s="93">
        <f t="shared" si="3"/>
        <v>21</v>
      </c>
      <c r="Q35" s="203">
        <f t="shared" si="4"/>
        <v>3</v>
      </c>
      <c r="R35" s="203">
        <f t="shared" si="5"/>
        <v>1</v>
      </c>
      <c r="S35" s="203">
        <f t="shared" si="6"/>
        <v>2495</v>
      </c>
      <c r="T35" s="203">
        <f t="shared" si="7"/>
        <v>11</v>
      </c>
      <c r="U35">
        <f t="shared" si="0"/>
        <v>12</v>
      </c>
      <c r="W35" s="40">
        <v>13</v>
      </c>
      <c r="X35" s="218">
        <v>12</v>
      </c>
      <c r="Y35" s="38">
        <f t="shared" si="1"/>
        <v>20</v>
      </c>
      <c r="Z35" s="41"/>
    </row>
    <row r="36" spans="1:26" ht="15.6">
      <c r="A36" s="223" t="s">
        <v>290</v>
      </c>
      <c r="B36" s="203">
        <v>2</v>
      </c>
      <c r="C36" s="224" t="s">
        <v>291</v>
      </c>
      <c r="D36" s="203">
        <v>1</v>
      </c>
      <c r="E36" s="222">
        <f>Principal!$C$10</f>
        <v>2024</v>
      </c>
      <c r="G36">
        <f>G35*11</f>
        <v>110</v>
      </c>
      <c r="H36">
        <f>MOD(G36,30)</f>
        <v>20</v>
      </c>
      <c r="I36">
        <f>IF(A69&gt;-1,A69,0)</f>
        <v>19</v>
      </c>
      <c r="J36">
        <v>4</v>
      </c>
      <c r="K36" t="s">
        <v>319</v>
      </c>
      <c r="L36">
        <v>2008</v>
      </c>
      <c r="M36" s="211">
        <f t="shared" si="2"/>
        <v>14</v>
      </c>
      <c r="N36">
        <f t="shared" si="8"/>
        <v>23</v>
      </c>
      <c r="O36" s="440">
        <v>39894</v>
      </c>
      <c r="P36" s="93">
        <f t="shared" si="3"/>
        <v>21</v>
      </c>
      <c r="Q36" s="203">
        <f t="shared" si="4"/>
        <v>3</v>
      </c>
      <c r="R36" s="203">
        <f t="shared" si="5"/>
        <v>1</v>
      </c>
      <c r="S36" s="203">
        <f>INT(($L36*5)/4)-10-Q36</f>
        <v>2497</v>
      </c>
      <c r="T36" s="203">
        <f t="shared" si="7"/>
        <v>22</v>
      </c>
      <c r="U36">
        <f t="shared" si="0"/>
        <v>23</v>
      </c>
      <c r="W36" s="40">
        <v>14</v>
      </c>
      <c r="X36" s="218">
        <v>23</v>
      </c>
      <c r="Y36" s="38">
        <f t="shared" si="1"/>
        <v>1</v>
      </c>
      <c r="Z36" s="41"/>
    </row>
    <row r="37" spans="1:26" ht="21">
      <c r="A37" s="223" t="s">
        <v>292</v>
      </c>
      <c r="B37" s="203">
        <v>3</v>
      </c>
      <c r="C37" s="224" t="s">
        <v>293</v>
      </c>
      <c r="D37" s="203">
        <v>0</v>
      </c>
      <c r="E37" s="442" t="str">
        <f>calendario!$AG$6</f>
        <v>24</v>
      </c>
      <c r="F37" t="str">
        <f>VLOOKUP(F34,B35:D46,2)</f>
        <v>01</v>
      </c>
      <c r="I37" t="str">
        <f>VLOOKUP(I36,J32:K61,2)</f>
        <v>Luna Llena</v>
      </c>
      <c r="J37">
        <v>5</v>
      </c>
      <c r="K37" t="s">
        <v>319</v>
      </c>
      <c r="L37">
        <v>2009</v>
      </c>
      <c r="M37" s="211">
        <f t="shared" si="2"/>
        <v>15</v>
      </c>
      <c r="N37">
        <f t="shared" si="8"/>
        <v>4</v>
      </c>
      <c r="O37" s="440">
        <v>39913</v>
      </c>
      <c r="P37" s="93">
        <f t="shared" si="3"/>
        <v>21</v>
      </c>
      <c r="Q37" s="203">
        <f t="shared" si="4"/>
        <v>3</v>
      </c>
      <c r="R37" s="203">
        <f t="shared" si="5"/>
        <v>1</v>
      </c>
      <c r="S37" s="203">
        <f t="shared" si="6"/>
        <v>2498</v>
      </c>
      <c r="T37" s="203">
        <f t="shared" si="7"/>
        <v>3</v>
      </c>
      <c r="U37">
        <f t="shared" si="0"/>
        <v>4</v>
      </c>
      <c r="W37" s="40">
        <v>15</v>
      </c>
      <c r="X37" s="218">
        <v>4</v>
      </c>
      <c r="Y37" s="38">
        <f t="shared" si="1"/>
        <v>12</v>
      </c>
      <c r="Z37" s="41"/>
    </row>
    <row r="38" spans="1:26" ht="15.6">
      <c r="A38" s="223" t="s">
        <v>294</v>
      </c>
      <c r="B38" s="203">
        <v>4</v>
      </c>
      <c r="C38" s="224" t="s">
        <v>295</v>
      </c>
      <c r="D38" s="203">
        <v>1</v>
      </c>
      <c r="J38">
        <v>6</v>
      </c>
      <c r="K38" t="s">
        <v>320</v>
      </c>
      <c r="L38">
        <v>2010</v>
      </c>
      <c r="M38" s="211">
        <f t="shared" si="2"/>
        <v>16</v>
      </c>
      <c r="N38">
        <f t="shared" si="8"/>
        <v>15</v>
      </c>
      <c r="O38" s="440">
        <v>39902</v>
      </c>
      <c r="P38" s="93">
        <f t="shared" si="3"/>
        <v>21</v>
      </c>
      <c r="Q38" s="203">
        <f t="shared" si="4"/>
        <v>3</v>
      </c>
      <c r="R38" s="203">
        <f t="shared" si="5"/>
        <v>1</v>
      </c>
      <c r="S38" s="203">
        <f t="shared" si="6"/>
        <v>2499</v>
      </c>
      <c r="T38" s="203">
        <f t="shared" si="7"/>
        <v>14</v>
      </c>
      <c r="U38">
        <f t="shared" si="0"/>
        <v>15</v>
      </c>
      <c r="W38" s="40">
        <v>16</v>
      </c>
      <c r="X38" s="218">
        <v>15</v>
      </c>
      <c r="Y38" s="38">
        <f t="shared" si="1"/>
        <v>23</v>
      </c>
      <c r="Z38" s="41"/>
    </row>
    <row r="39" spans="1:26" ht="15.6">
      <c r="A39" s="223" t="s">
        <v>296</v>
      </c>
      <c r="B39" s="203">
        <v>5</v>
      </c>
      <c r="C39" s="224" t="s">
        <v>297</v>
      </c>
      <c r="D39" s="203">
        <v>2</v>
      </c>
      <c r="E39">
        <f>I36+E34+F37</f>
        <v>21</v>
      </c>
      <c r="F39">
        <f>MOD(E39,30)</f>
        <v>21</v>
      </c>
      <c r="G39" t="str">
        <f>VLOOKUP(F39,J32:K61,2)</f>
        <v>Cuarto Menguante</v>
      </c>
      <c r="J39">
        <v>7</v>
      </c>
      <c r="K39" s="230" t="s">
        <v>320</v>
      </c>
      <c r="L39">
        <v>2011</v>
      </c>
      <c r="M39" s="211">
        <f t="shared" si="2"/>
        <v>17</v>
      </c>
      <c r="N39">
        <f t="shared" si="8"/>
        <v>26</v>
      </c>
      <c r="O39" s="440">
        <v>39920</v>
      </c>
      <c r="P39" s="93">
        <f t="shared" si="3"/>
        <v>21</v>
      </c>
      <c r="Q39" s="203">
        <f t="shared" si="4"/>
        <v>3</v>
      </c>
      <c r="R39" s="203">
        <f t="shared" si="5"/>
        <v>1</v>
      </c>
      <c r="S39" s="203">
        <f t="shared" si="6"/>
        <v>2500</v>
      </c>
      <c r="T39" s="203">
        <f t="shared" si="7"/>
        <v>25</v>
      </c>
      <c r="U39">
        <f t="shared" si="0"/>
        <v>26</v>
      </c>
      <c r="W39" s="40">
        <v>17</v>
      </c>
      <c r="X39" s="218">
        <v>26</v>
      </c>
      <c r="Y39" s="38">
        <f t="shared" si="1"/>
        <v>4</v>
      </c>
      <c r="Z39" s="41"/>
    </row>
    <row r="40" spans="1:26" ht="15.6">
      <c r="A40" s="223" t="s">
        <v>298</v>
      </c>
      <c r="B40" s="203">
        <v>6</v>
      </c>
      <c r="C40" s="224" t="s">
        <v>299</v>
      </c>
      <c r="D40" s="203">
        <v>3</v>
      </c>
      <c r="F40">
        <f>F39+1</f>
        <v>22</v>
      </c>
      <c r="J40">
        <v>8</v>
      </c>
      <c r="K40" t="s">
        <v>320</v>
      </c>
      <c r="L40">
        <v>2012</v>
      </c>
      <c r="M40" s="211">
        <f t="shared" si="2"/>
        <v>18</v>
      </c>
      <c r="N40">
        <f t="shared" si="8"/>
        <v>7</v>
      </c>
      <c r="O40" s="440">
        <v>39909</v>
      </c>
      <c r="P40" s="93">
        <f t="shared" si="3"/>
        <v>21</v>
      </c>
      <c r="Q40" s="203">
        <f t="shared" si="4"/>
        <v>3</v>
      </c>
      <c r="R40" s="203">
        <f t="shared" si="5"/>
        <v>1</v>
      </c>
      <c r="S40" s="203">
        <f t="shared" si="6"/>
        <v>2502</v>
      </c>
      <c r="T40" s="203">
        <f t="shared" si="7"/>
        <v>6</v>
      </c>
      <c r="U40">
        <f t="shared" si="0"/>
        <v>7</v>
      </c>
      <c r="W40" s="40">
        <v>18</v>
      </c>
      <c r="X40" s="218">
        <v>7</v>
      </c>
      <c r="Y40" s="38">
        <f t="shared" si="1"/>
        <v>15</v>
      </c>
      <c r="Z40" s="41"/>
    </row>
    <row r="41" spans="1:26" ht="15.6">
      <c r="A41" s="223" t="s">
        <v>300</v>
      </c>
      <c r="B41" s="203">
        <v>7</v>
      </c>
      <c r="C41" s="224" t="s">
        <v>301</v>
      </c>
      <c r="D41" s="203">
        <v>4</v>
      </c>
      <c r="J41">
        <v>9</v>
      </c>
      <c r="K41" t="s">
        <v>320</v>
      </c>
      <c r="L41">
        <v>2013</v>
      </c>
      <c r="M41" s="211">
        <f t="shared" si="2"/>
        <v>19</v>
      </c>
      <c r="N41">
        <f t="shared" si="8"/>
        <v>18</v>
      </c>
      <c r="O41" s="440">
        <v>39930</v>
      </c>
      <c r="P41" s="93">
        <f t="shared" si="3"/>
        <v>21</v>
      </c>
      <c r="Q41" s="203">
        <f t="shared" si="4"/>
        <v>3</v>
      </c>
      <c r="R41" s="203">
        <f t="shared" si="5"/>
        <v>1</v>
      </c>
      <c r="S41" s="203">
        <f t="shared" si="6"/>
        <v>2503</v>
      </c>
      <c r="T41" s="203">
        <f t="shared" si="7"/>
        <v>17</v>
      </c>
      <c r="U41">
        <f t="shared" si="0"/>
        <v>18</v>
      </c>
      <c r="W41" s="40">
        <v>19</v>
      </c>
      <c r="X41" s="218">
        <v>18</v>
      </c>
      <c r="Y41" s="38">
        <f t="shared" si="1"/>
        <v>26</v>
      </c>
      <c r="Z41" s="41"/>
    </row>
    <row r="42" spans="1:26" ht="15.6">
      <c r="A42" s="223" t="s">
        <v>302</v>
      </c>
      <c r="B42" s="203">
        <v>8</v>
      </c>
      <c r="C42" s="224" t="s">
        <v>303</v>
      </c>
      <c r="D42" s="203">
        <v>5</v>
      </c>
      <c r="J42">
        <v>10</v>
      </c>
      <c r="K42" t="s">
        <v>320</v>
      </c>
      <c r="L42">
        <v>2014</v>
      </c>
      <c r="M42" s="211">
        <f t="shared" si="2"/>
        <v>1</v>
      </c>
      <c r="N42">
        <f t="shared" si="8"/>
        <v>0</v>
      </c>
      <c r="O42" s="440">
        <v>39916</v>
      </c>
      <c r="P42" s="93">
        <f t="shared" si="3"/>
        <v>21</v>
      </c>
      <c r="Q42" s="203">
        <f t="shared" si="4"/>
        <v>3</v>
      </c>
      <c r="R42" s="203">
        <f t="shared" si="5"/>
        <v>1</v>
      </c>
      <c r="S42" s="203">
        <f t="shared" si="6"/>
        <v>2504</v>
      </c>
      <c r="T42" s="203">
        <f>IF(L42&gt;1582,MOD((MOD((11*$M42+20+$R42-$Q42),30)+30),30),Y23)</f>
        <v>29</v>
      </c>
      <c r="U42">
        <f t="shared" si="0"/>
        <v>0</v>
      </c>
      <c r="W42" s="40"/>
      <c r="X42" s="40"/>
      <c r="Y42" s="41"/>
      <c r="Z42" s="41"/>
    </row>
    <row r="43" spans="1:26" ht="15.6">
      <c r="A43" s="223" t="s">
        <v>304</v>
      </c>
      <c r="B43" s="203">
        <v>9</v>
      </c>
      <c r="C43" s="224" t="s">
        <v>305</v>
      </c>
      <c r="D43" s="203">
        <v>7</v>
      </c>
      <c r="E43" s="231" t="s">
        <v>656</v>
      </c>
      <c r="F43" s="222">
        <f>MOD(A62,19)+1</f>
        <v>11</v>
      </c>
      <c r="G43">
        <f>VLOOKUP(MONTH(F63),B35:D46,3)</f>
        <v>0</v>
      </c>
      <c r="J43">
        <v>11</v>
      </c>
      <c r="K43" t="s">
        <v>320</v>
      </c>
      <c r="L43">
        <v>2015</v>
      </c>
      <c r="M43" s="211">
        <f t="shared" si="2"/>
        <v>2</v>
      </c>
      <c r="N43">
        <f t="shared" si="8"/>
        <v>11</v>
      </c>
      <c r="O43" s="440">
        <v>39906</v>
      </c>
      <c r="P43" s="93">
        <f t="shared" si="3"/>
        <v>21</v>
      </c>
      <c r="Q43" s="203">
        <f t="shared" si="4"/>
        <v>3</v>
      </c>
      <c r="R43" s="203">
        <f t="shared" si="5"/>
        <v>1</v>
      </c>
      <c r="S43" s="203">
        <f t="shared" si="6"/>
        <v>2505</v>
      </c>
      <c r="T43" s="203">
        <f t="shared" ref="T43:T60" si="9">IF(L43&gt;1582,MOD((MOD((11*$M43+20+$R43-$Q43),30)+30),30),Y24)</f>
        <v>10</v>
      </c>
      <c r="U43">
        <f t="shared" si="0"/>
        <v>11</v>
      </c>
      <c r="W43" s="40" t="s">
        <v>755</v>
      </c>
      <c r="X43" s="40"/>
      <c r="Y43" s="40" t="s">
        <v>318</v>
      </c>
      <c r="Z43" s="41"/>
    </row>
    <row r="44" spans="1:26" ht="15.6">
      <c r="A44" s="223" t="s">
        <v>306</v>
      </c>
      <c r="B44" s="203">
        <v>10</v>
      </c>
      <c r="C44" s="224" t="s">
        <v>307</v>
      </c>
      <c r="D44" s="203">
        <v>7</v>
      </c>
      <c r="J44">
        <v>12</v>
      </c>
      <c r="K44" t="s">
        <v>320</v>
      </c>
      <c r="L44">
        <v>2016</v>
      </c>
      <c r="M44" s="211">
        <f t="shared" si="2"/>
        <v>3</v>
      </c>
      <c r="N44">
        <f t="shared" si="8"/>
        <v>22</v>
      </c>
      <c r="O44" s="440">
        <v>39895</v>
      </c>
      <c r="P44" s="93">
        <f t="shared" si="3"/>
        <v>21</v>
      </c>
      <c r="Q44" s="203">
        <f t="shared" si="4"/>
        <v>3</v>
      </c>
      <c r="R44" s="203">
        <f t="shared" si="5"/>
        <v>1</v>
      </c>
      <c r="S44" s="203">
        <f t="shared" si="6"/>
        <v>2507</v>
      </c>
      <c r="T44" s="203">
        <f t="shared" si="9"/>
        <v>21</v>
      </c>
      <c r="U44">
        <f t="shared" si="0"/>
        <v>22</v>
      </c>
      <c r="W44" s="40" t="s">
        <v>756</v>
      </c>
      <c r="X44" s="40">
        <f>VLOOKUP(W21,W23:Y41,2,)</f>
        <v>20</v>
      </c>
      <c r="Y44" s="40">
        <f>VLOOKUP(W21,W23:Y41,3)</f>
        <v>28</v>
      </c>
      <c r="Z44" s="41"/>
    </row>
    <row r="45" spans="1:26" ht="15.6">
      <c r="A45" s="223" t="s">
        <v>308</v>
      </c>
      <c r="B45" s="203">
        <v>11</v>
      </c>
      <c r="C45" s="224" t="s">
        <v>309</v>
      </c>
      <c r="D45" s="203">
        <v>9</v>
      </c>
      <c r="H45">
        <v>0</v>
      </c>
      <c r="I45" t="s">
        <v>279</v>
      </c>
      <c r="J45">
        <v>13</v>
      </c>
      <c r="K45" t="s">
        <v>320</v>
      </c>
      <c r="L45">
        <v>2017</v>
      </c>
      <c r="M45" s="211">
        <f t="shared" si="2"/>
        <v>4</v>
      </c>
      <c r="N45">
        <f t="shared" si="8"/>
        <v>3</v>
      </c>
      <c r="O45" s="440">
        <v>39914</v>
      </c>
      <c r="P45" s="93">
        <f t="shared" si="3"/>
        <v>21</v>
      </c>
      <c r="Q45" s="203">
        <f t="shared" si="4"/>
        <v>3</v>
      </c>
      <c r="R45" s="203">
        <f t="shared" si="5"/>
        <v>1</v>
      </c>
      <c r="S45" s="203">
        <f t="shared" si="6"/>
        <v>2508</v>
      </c>
      <c r="T45" s="203">
        <f t="shared" si="9"/>
        <v>2</v>
      </c>
      <c r="U45">
        <f t="shared" si="0"/>
        <v>3</v>
      </c>
    </row>
    <row r="46" spans="1:26" ht="15.6">
      <c r="A46" s="223" t="s">
        <v>310</v>
      </c>
      <c r="B46" s="203">
        <v>12</v>
      </c>
      <c r="C46" s="224" t="s">
        <v>311</v>
      </c>
      <c r="D46" s="203">
        <v>9</v>
      </c>
      <c r="H46">
        <v>1</v>
      </c>
      <c r="I46" t="s">
        <v>280</v>
      </c>
      <c r="J46">
        <v>14</v>
      </c>
      <c r="K46" s="230" t="s">
        <v>321</v>
      </c>
      <c r="L46">
        <v>2018</v>
      </c>
      <c r="M46" s="211">
        <f t="shared" si="2"/>
        <v>5</v>
      </c>
      <c r="N46">
        <f t="shared" si="8"/>
        <v>14</v>
      </c>
      <c r="O46" s="440">
        <v>39902</v>
      </c>
      <c r="P46" s="93">
        <f t="shared" si="3"/>
        <v>21</v>
      </c>
      <c r="Q46" s="203">
        <f t="shared" si="4"/>
        <v>3</v>
      </c>
      <c r="R46" s="203">
        <f t="shared" si="5"/>
        <v>1</v>
      </c>
      <c r="S46" s="203">
        <f t="shared" si="6"/>
        <v>2509</v>
      </c>
      <c r="T46" s="203">
        <f t="shared" si="9"/>
        <v>13</v>
      </c>
      <c r="U46">
        <f t="shared" si="0"/>
        <v>14</v>
      </c>
    </row>
    <row r="47" spans="1:26" ht="15">
      <c r="A47" s="435"/>
      <c r="H47">
        <v>2</v>
      </c>
      <c r="I47" t="s">
        <v>281</v>
      </c>
      <c r="J47">
        <v>15</v>
      </c>
      <c r="K47" t="s">
        <v>321</v>
      </c>
      <c r="L47">
        <v>2019</v>
      </c>
      <c r="M47" s="211">
        <f t="shared" si="2"/>
        <v>6</v>
      </c>
      <c r="N47">
        <f t="shared" si="8"/>
        <v>25</v>
      </c>
      <c r="O47" s="440">
        <v>39917</v>
      </c>
      <c r="P47" s="93">
        <f t="shared" si="3"/>
        <v>21</v>
      </c>
      <c r="Q47" s="203">
        <f t="shared" si="4"/>
        <v>3</v>
      </c>
      <c r="R47" s="203">
        <f t="shared" si="5"/>
        <v>1</v>
      </c>
      <c r="S47" s="203">
        <f t="shared" si="6"/>
        <v>2510</v>
      </c>
      <c r="T47" s="203">
        <f t="shared" si="9"/>
        <v>24</v>
      </c>
      <c r="U47">
        <f t="shared" si="0"/>
        <v>25</v>
      </c>
    </row>
    <row r="48" spans="1:26" ht="15">
      <c r="A48" s="435" t="s">
        <v>672</v>
      </c>
      <c r="H48">
        <v>3</v>
      </c>
      <c r="I48" t="s">
        <v>282</v>
      </c>
      <c r="J48">
        <v>16</v>
      </c>
      <c r="K48" t="s">
        <v>321</v>
      </c>
      <c r="L48">
        <v>2020</v>
      </c>
      <c r="M48" s="211">
        <f t="shared" si="2"/>
        <v>7</v>
      </c>
      <c r="N48">
        <f t="shared" si="8"/>
        <v>6</v>
      </c>
      <c r="O48" s="440">
        <v>39911</v>
      </c>
      <c r="P48" s="93">
        <f t="shared" si="3"/>
        <v>21</v>
      </c>
      <c r="Q48" s="203">
        <f t="shared" si="4"/>
        <v>3</v>
      </c>
      <c r="R48" s="203">
        <f t="shared" si="5"/>
        <v>1</v>
      </c>
      <c r="S48" s="203">
        <f t="shared" si="6"/>
        <v>2512</v>
      </c>
      <c r="T48" s="203">
        <f t="shared" si="9"/>
        <v>5</v>
      </c>
      <c r="U48">
        <f t="shared" si="0"/>
        <v>6</v>
      </c>
    </row>
    <row r="49" spans="1:23" ht="15">
      <c r="A49" s="435"/>
      <c r="H49">
        <v>4</v>
      </c>
      <c r="I49" t="s">
        <v>283</v>
      </c>
      <c r="J49">
        <v>17</v>
      </c>
      <c r="K49" t="s">
        <v>321</v>
      </c>
      <c r="L49">
        <v>2021</v>
      </c>
      <c r="M49" s="211">
        <f t="shared" si="2"/>
        <v>8</v>
      </c>
      <c r="N49">
        <f t="shared" si="8"/>
        <v>17</v>
      </c>
      <c r="O49" s="440">
        <v>39900</v>
      </c>
      <c r="P49" s="93">
        <f t="shared" si="3"/>
        <v>21</v>
      </c>
      <c r="Q49" s="203">
        <f t="shared" si="4"/>
        <v>3</v>
      </c>
      <c r="R49" s="203">
        <f t="shared" si="5"/>
        <v>1</v>
      </c>
      <c r="S49" s="203">
        <f t="shared" si="6"/>
        <v>2513</v>
      </c>
      <c r="T49" s="203">
        <f t="shared" si="9"/>
        <v>16</v>
      </c>
      <c r="U49">
        <f t="shared" si="0"/>
        <v>17</v>
      </c>
    </row>
    <row r="50" spans="1:23" ht="15">
      <c r="A50" s="435" t="s">
        <v>673</v>
      </c>
      <c r="H50">
        <v>5</v>
      </c>
      <c r="I50" t="s">
        <v>284</v>
      </c>
      <c r="J50">
        <v>18</v>
      </c>
      <c r="K50" t="s">
        <v>321</v>
      </c>
      <c r="L50">
        <v>2022</v>
      </c>
      <c r="M50" s="211">
        <f t="shared" si="2"/>
        <v>9</v>
      </c>
      <c r="N50">
        <f t="shared" si="8"/>
        <v>28</v>
      </c>
      <c r="O50" s="440">
        <v>39918</v>
      </c>
      <c r="P50" s="93">
        <f t="shared" si="3"/>
        <v>21</v>
      </c>
      <c r="Q50" s="203">
        <f t="shared" si="4"/>
        <v>3</v>
      </c>
      <c r="R50" s="203">
        <f t="shared" si="5"/>
        <v>1</v>
      </c>
      <c r="S50" s="203">
        <f t="shared" si="6"/>
        <v>2514</v>
      </c>
      <c r="T50" s="203">
        <f t="shared" si="9"/>
        <v>27</v>
      </c>
      <c r="U50">
        <f t="shared" si="0"/>
        <v>28</v>
      </c>
    </row>
    <row r="51" spans="1:23" ht="15">
      <c r="A51" s="435"/>
      <c r="H51">
        <v>6</v>
      </c>
      <c r="I51" t="s">
        <v>285</v>
      </c>
      <c r="J51">
        <v>19</v>
      </c>
      <c r="K51" t="s">
        <v>321</v>
      </c>
      <c r="L51">
        <v>2023</v>
      </c>
      <c r="M51" s="211">
        <f t="shared" si="2"/>
        <v>10</v>
      </c>
      <c r="N51">
        <f t="shared" si="8"/>
        <v>9</v>
      </c>
      <c r="O51" s="440">
        <v>39908</v>
      </c>
      <c r="P51" s="93">
        <f t="shared" si="3"/>
        <v>21</v>
      </c>
      <c r="Q51" s="203">
        <f t="shared" si="4"/>
        <v>3</v>
      </c>
      <c r="R51" s="203">
        <f t="shared" si="5"/>
        <v>1</v>
      </c>
      <c r="S51" s="203">
        <f t="shared" si="6"/>
        <v>2515</v>
      </c>
      <c r="T51" s="203">
        <f t="shared" si="9"/>
        <v>8</v>
      </c>
      <c r="U51">
        <f t="shared" si="0"/>
        <v>9</v>
      </c>
    </row>
    <row r="52" spans="1:23" ht="15">
      <c r="A52" s="435" t="s">
        <v>674</v>
      </c>
      <c r="H52">
        <v>7</v>
      </c>
      <c r="I52" t="s">
        <v>279</v>
      </c>
      <c r="J52">
        <v>20</v>
      </c>
      <c r="K52" t="s">
        <v>321</v>
      </c>
      <c r="L52">
        <v>2024</v>
      </c>
      <c r="M52" s="211">
        <f t="shared" si="2"/>
        <v>11</v>
      </c>
      <c r="N52">
        <f t="shared" si="8"/>
        <v>20</v>
      </c>
      <c r="O52" s="440">
        <v>39898</v>
      </c>
      <c r="P52" s="93">
        <f t="shared" si="3"/>
        <v>21</v>
      </c>
      <c r="Q52" s="203">
        <f t="shared" si="4"/>
        <v>3</v>
      </c>
      <c r="R52" s="203">
        <f t="shared" si="5"/>
        <v>1</v>
      </c>
      <c r="S52" s="203">
        <f t="shared" si="6"/>
        <v>2517</v>
      </c>
      <c r="T52" s="203">
        <f t="shared" si="9"/>
        <v>19</v>
      </c>
      <c r="U52">
        <f t="shared" si="0"/>
        <v>20</v>
      </c>
    </row>
    <row r="53" spans="1:23" ht="15">
      <c r="A53" s="435"/>
      <c r="F53">
        <f>MOD(((A64-1)*11),30)-1</f>
        <v>19</v>
      </c>
      <c r="J53">
        <v>21</v>
      </c>
      <c r="K53" s="230" t="s">
        <v>322</v>
      </c>
      <c r="L53">
        <v>2025</v>
      </c>
      <c r="M53" s="211">
        <f t="shared" si="2"/>
        <v>12</v>
      </c>
      <c r="N53">
        <f t="shared" si="8"/>
        <v>1</v>
      </c>
      <c r="O53" s="440">
        <v>39916</v>
      </c>
      <c r="P53" s="93">
        <f t="shared" si="3"/>
        <v>21</v>
      </c>
      <c r="Q53" s="203">
        <f t="shared" si="4"/>
        <v>3</v>
      </c>
      <c r="R53" s="203">
        <f t="shared" si="5"/>
        <v>1</v>
      </c>
      <c r="S53" s="203">
        <f t="shared" si="6"/>
        <v>2518</v>
      </c>
      <c r="T53" s="203">
        <f t="shared" si="9"/>
        <v>0</v>
      </c>
      <c r="U53">
        <f t="shared" si="0"/>
        <v>1</v>
      </c>
    </row>
    <row r="54" spans="1:23" ht="15">
      <c r="A54" s="435" t="s">
        <v>675</v>
      </c>
      <c r="J54">
        <v>22</v>
      </c>
      <c r="K54" t="s">
        <v>322</v>
      </c>
      <c r="L54">
        <v>2026</v>
      </c>
      <c r="M54" s="211">
        <f t="shared" si="2"/>
        <v>13</v>
      </c>
      <c r="N54">
        <f t="shared" si="8"/>
        <v>12</v>
      </c>
      <c r="O54" s="440">
        <v>39904</v>
      </c>
      <c r="P54" s="93">
        <f t="shared" si="3"/>
        <v>21</v>
      </c>
      <c r="Q54" s="203">
        <f t="shared" si="4"/>
        <v>3</v>
      </c>
      <c r="R54" s="203">
        <f t="shared" si="5"/>
        <v>1</v>
      </c>
      <c r="S54" s="203">
        <f t="shared" si="6"/>
        <v>2519</v>
      </c>
      <c r="T54" s="203">
        <f t="shared" si="9"/>
        <v>11</v>
      </c>
      <c r="U54">
        <f t="shared" si="0"/>
        <v>12</v>
      </c>
    </row>
    <row r="55" spans="1:23" ht="15">
      <c r="A55" s="435" t="s">
        <v>676</v>
      </c>
      <c r="J55">
        <v>23</v>
      </c>
      <c r="K55" t="s">
        <v>322</v>
      </c>
      <c r="L55">
        <v>2027</v>
      </c>
      <c r="M55" s="211">
        <f t="shared" si="2"/>
        <v>14</v>
      </c>
      <c r="N55">
        <f t="shared" si="8"/>
        <v>23</v>
      </c>
      <c r="O55" s="440">
        <v>39894</v>
      </c>
      <c r="P55" s="93">
        <f t="shared" si="3"/>
        <v>21</v>
      </c>
      <c r="Q55" s="203">
        <f t="shared" si="4"/>
        <v>3</v>
      </c>
      <c r="R55" s="203">
        <f t="shared" si="5"/>
        <v>1</v>
      </c>
      <c r="S55" s="203">
        <f t="shared" si="6"/>
        <v>2520</v>
      </c>
      <c r="T55" s="203">
        <f t="shared" si="9"/>
        <v>22</v>
      </c>
      <c r="U55">
        <f t="shared" si="0"/>
        <v>23</v>
      </c>
    </row>
    <row r="56" spans="1:23" ht="15">
      <c r="A56" s="435" t="s">
        <v>677</v>
      </c>
      <c r="J56">
        <v>24</v>
      </c>
      <c r="K56" t="s">
        <v>322</v>
      </c>
      <c r="L56">
        <v>2028</v>
      </c>
      <c r="M56" s="211">
        <f t="shared" si="2"/>
        <v>15</v>
      </c>
      <c r="N56">
        <f t="shared" si="8"/>
        <v>4</v>
      </c>
      <c r="O56" s="440">
        <v>39913</v>
      </c>
      <c r="P56" s="93">
        <f t="shared" si="3"/>
        <v>21</v>
      </c>
      <c r="Q56" s="203">
        <f t="shared" si="4"/>
        <v>3</v>
      </c>
      <c r="R56" s="203">
        <f t="shared" si="5"/>
        <v>1</v>
      </c>
      <c r="S56" s="203">
        <f t="shared" si="6"/>
        <v>2522</v>
      </c>
      <c r="T56" s="203">
        <f t="shared" si="9"/>
        <v>3</v>
      </c>
      <c r="U56">
        <f t="shared" si="0"/>
        <v>4</v>
      </c>
    </row>
    <row r="57" spans="1:23" ht="15">
      <c r="A57" s="435"/>
      <c r="J57">
        <v>25</v>
      </c>
      <c r="K57" t="s">
        <v>322</v>
      </c>
      <c r="L57">
        <v>2029</v>
      </c>
      <c r="M57" s="211">
        <f t="shared" si="2"/>
        <v>16</v>
      </c>
      <c r="N57">
        <f t="shared" si="8"/>
        <v>15</v>
      </c>
      <c r="O57" s="440">
        <v>39902</v>
      </c>
      <c r="P57" s="93">
        <f t="shared" si="3"/>
        <v>21</v>
      </c>
      <c r="Q57" s="203">
        <f t="shared" si="4"/>
        <v>3</v>
      </c>
      <c r="R57" s="203">
        <f t="shared" si="5"/>
        <v>1</v>
      </c>
      <c r="S57" s="203">
        <f t="shared" si="6"/>
        <v>2523</v>
      </c>
      <c r="T57" s="203">
        <f t="shared" si="9"/>
        <v>14</v>
      </c>
      <c r="U57">
        <f t="shared" si="0"/>
        <v>15</v>
      </c>
    </row>
    <row r="58" spans="1:23" ht="15.6">
      <c r="A58" s="435" t="s">
        <v>678</v>
      </c>
      <c r="J58">
        <v>26</v>
      </c>
      <c r="K58" t="s">
        <v>322</v>
      </c>
      <c r="L58">
        <v>2030</v>
      </c>
      <c r="M58" s="211">
        <f t="shared" si="2"/>
        <v>17</v>
      </c>
      <c r="N58">
        <f t="shared" si="8"/>
        <v>26</v>
      </c>
      <c r="O58" s="440">
        <v>39920</v>
      </c>
      <c r="P58" s="93">
        <f t="shared" si="3"/>
        <v>21</v>
      </c>
      <c r="Q58" s="203">
        <f t="shared" si="4"/>
        <v>3</v>
      </c>
      <c r="R58" s="203">
        <f t="shared" si="5"/>
        <v>1</v>
      </c>
      <c r="S58" s="203">
        <f t="shared" si="6"/>
        <v>2524</v>
      </c>
      <c r="T58" s="203">
        <f t="shared" si="9"/>
        <v>25</v>
      </c>
      <c r="U58">
        <f t="shared" si="0"/>
        <v>26</v>
      </c>
    </row>
    <row r="59" spans="1:23" ht="15.6" thickBot="1">
      <c r="A59" s="435"/>
      <c r="J59">
        <v>27</v>
      </c>
      <c r="K59" t="s">
        <v>322</v>
      </c>
      <c r="L59">
        <v>2031</v>
      </c>
      <c r="M59" s="211">
        <f t="shared" si="2"/>
        <v>18</v>
      </c>
      <c r="N59">
        <f t="shared" si="8"/>
        <v>7</v>
      </c>
      <c r="O59" s="440">
        <v>39909</v>
      </c>
      <c r="P59" s="93">
        <f t="shared" si="3"/>
        <v>21</v>
      </c>
      <c r="Q59" s="203">
        <f t="shared" si="4"/>
        <v>3</v>
      </c>
      <c r="R59" s="203">
        <f t="shared" si="5"/>
        <v>1</v>
      </c>
      <c r="S59" s="203">
        <f t="shared" si="6"/>
        <v>2525</v>
      </c>
      <c r="T59" s="203">
        <f t="shared" si="9"/>
        <v>6</v>
      </c>
      <c r="U59">
        <f t="shared" si="0"/>
        <v>7</v>
      </c>
    </row>
    <row r="60" spans="1:23" ht="14.4" thickTop="1" thickBot="1">
      <c r="A60" s="443">
        <f>MOD($E$36,19)+1</f>
        <v>11</v>
      </c>
      <c r="B60" s="443" t="str">
        <f>VLOOKUP($A$60,$P$102:$Q$120,2,)</f>
        <v xml:space="preserve">XI </v>
      </c>
      <c r="J60">
        <v>28</v>
      </c>
      <c r="K60" s="231" t="s">
        <v>322</v>
      </c>
      <c r="L60">
        <v>2032</v>
      </c>
      <c r="M60" s="211">
        <f t="shared" si="2"/>
        <v>19</v>
      </c>
      <c r="N60">
        <f t="shared" si="8"/>
        <v>18</v>
      </c>
      <c r="O60" s="440">
        <v>39930</v>
      </c>
      <c r="P60" s="93">
        <f t="shared" si="3"/>
        <v>21</v>
      </c>
      <c r="Q60" s="203">
        <f t="shared" si="4"/>
        <v>3</v>
      </c>
      <c r="R60" s="203">
        <f t="shared" si="5"/>
        <v>1</v>
      </c>
      <c r="S60" s="203">
        <f t="shared" si="6"/>
        <v>2527</v>
      </c>
      <c r="T60" s="203">
        <f t="shared" si="9"/>
        <v>17</v>
      </c>
      <c r="U60">
        <f t="shared" si="0"/>
        <v>18</v>
      </c>
    </row>
    <row r="61" spans="1:23" ht="15.6" thickTop="1">
      <c r="A61" s="435" t="s">
        <v>679</v>
      </c>
      <c r="J61">
        <v>29</v>
      </c>
      <c r="K61" s="230" t="s">
        <v>322</v>
      </c>
      <c r="M61" t="s">
        <v>680</v>
      </c>
    </row>
    <row r="62" spans="1:23" ht="16.2" thickBot="1">
      <c r="A62" s="444">
        <f>$E$36</f>
        <v>2024</v>
      </c>
      <c r="B62" s="533"/>
      <c r="N62" t="s">
        <v>681</v>
      </c>
      <c r="P62" s="231" t="s">
        <v>682</v>
      </c>
    </row>
    <row r="63" spans="1:23" ht="16.8" thickTop="1" thickBot="1">
      <c r="A63" s="445" t="s">
        <v>683</v>
      </c>
      <c r="B63" s="224" t="s">
        <v>289</v>
      </c>
      <c r="C63" s="203" t="s">
        <v>684</v>
      </c>
      <c r="D63" s="224" t="s">
        <v>289</v>
      </c>
      <c r="E63" s="203" t="s">
        <v>684</v>
      </c>
      <c r="F63" s="302" t="str">
        <f t="shared" ref="F63:F121" si="10">CONCATENATE(B63,C63,D63,E63,$E$37)</f>
        <v>01/01/24</v>
      </c>
      <c r="G63" s="233">
        <f t="shared" ref="G63:G127" si="11">MOD($A$69+B63+VLOOKUP(MONTH(F63),$B$35:$D$46,3),30)</f>
        <v>20</v>
      </c>
      <c r="H63" t="str">
        <f t="shared" ref="H63:H126" si="12">VLOOKUP(G63,$J$32:$K$61,2)</f>
        <v>Luna Llena</v>
      </c>
      <c r="I63" s="224"/>
      <c r="J63">
        <f>calendario!$AB$7</f>
        <v>1</v>
      </c>
      <c r="K63" t="str">
        <f>VLOOKUP(J63,$H$45:$I$52,2)</f>
        <v>Lunes</v>
      </c>
      <c r="L63" s="203">
        <v>1</v>
      </c>
      <c r="M63" s="203" t="s">
        <v>521</v>
      </c>
      <c r="N63" s="203">
        <f>VLOOKUP(14,$G$63:$L$93,6,0)+1</f>
        <v>26</v>
      </c>
      <c r="O63" s="203">
        <f>N63</f>
        <v>26</v>
      </c>
      <c r="P63" s="203">
        <f>VLOOKUP(0,$G$63:$L$93,6,0)+1</f>
        <v>12</v>
      </c>
      <c r="R63" s="302"/>
    </row>
    <row r="64" spans="1:23" ht="14.4" thickTop="1" thickBot="1">
      <c r="A64" s="443">
        <f>MOD($E$36,19)+1</f>
        <v>11</v>
      </c>
      <c r="B64" s="224" t="s">
        <v>291</v>
      </c>
      <c r="C64" s="203" t="s">
        <v>684</v>
      </c>
      <c r="D64" s="224" t="s">
        <v>289</v>
      </c>
      <c r="E64" s="203" t="s">
        <v>684</v>
      </c>
      <c r="F64" s="302" t="str">
        <f t="shared" si="10"/>
        <v>02/01/24</v>
      </c>
      <c r="G64" s="233">
        <f t="shared" si="11"/>
        <v>21</v>
      </c>
      <c r="H64" t="str">
        <f t="shared" si="12"/>
        <v>Cuarto Menguante</v>
      </c>
      <c r="I64" s="224"/>
      <c r="J64">
        <f>IF(J63&lt;6,J63+1,0)</f>
        <v>2</v>
      </c>
      <c r="K64" t="str">
        <f t="shared" ref="K64:K127" si="13">VLOOKUP(J64,$H$45:$I$52,2)</f>
        <v>Martes</v>
      </c>
      <c r="L64" s="203">
        <f t="shared" ref="L64:L127" si="14">VALUE(LEFT(F64,2))</f>
        <v>2</v>
      </c>
      <c r="M64" s="203" t="s">
        <v>522</v>
      </c>
      <c r="N64" s="203">
        <f>VLOOKUP(14,$G$94:$L$123,6,0)</f>
        <v>24</v>
      </c>
      <c r="O64" s="203">
        <f t="shared" ref="O64:O74" si="15">N64</f>
        <v>24</v>
      </c>
      <c r="P64" s="203">
        <f>VLOOKUP(0,$G$94:$L$123,6,0)</f>
        <v>10</v>
      </c>
      <c r="T64" s="55" t="s">
        <v>228</v>
      </c>
      <c r="U64" s="56"/>
      <c r="V64" s="56"/>
      <c r="W64" s="43" t="str">
        <f>CONCATENATE(U65,V65)</f>
        <v>31MARZO</v>
      </c>
    </row>
    <row r="65" spans="1:23" ht="13.8" thickTop="1">
      <c r="A65" s="93">
        <f>INT($E$36/100)+1</f>
        <v>21</v>
      </c>
      <c r="B65" s="224" t="s">
        <v>293</v>
      </c>
      <c r="C65" s="203" t="s">
        <v>684</v>
      </c>
      <c r="D65" s="224" t="s">
        <v>289</v>
      </c>
      <c r="E65" s="203" t="s">
        <v>684</v>
      </c>
      <c r="F65" s="302" t="str">
        <f t="shared" si="10"/>
        <v>03/01/24</v>
      </c>
      <c r="G65" s="233">
        <f t="shared" si="11"/>
        <v>22</v>
      </c>
      <c r="H65" t="str">
        <f t="shared" si="12"/>
        <v>Cuarto Menguante</v>
      </c>
      <c r="J65">
        <f t="shared" ref="J65:J93" si="16">IF(J64&lt;6,J64+1,0)</f>
        <v>3</v>
      </c>
      <c r="K65" t="str">
        <f t="shared" si="13"/>
        <v>Miércoles</v>
      </c>
      <c r="L65" s="203">
        <f t="shared" si="14"/>
        <v>3</v>
      </c>
      <c r="M65" s="203" t="s">
        <v>292</v>
      </c>
      <c r="N65" s="203">
        <f>VLOOKUP(14,$G$123:$L$153,6,0)+1</f>
        <v>26</v>
      </c>
      <c r="O65" s="203">
        <f>IF(AND(R93="MARZO",P80&lt;&gt;0),Q93,N65)</f>
        <v>25</v>
      </c>
      <c r="P65" s="203">
        <f>VLOOKUP(0,$G$123:$L$153,6,0)+1</f>
        <v>12</v>
      </c>
      <c r="Q65" t="str">
        <f>IF($R$93="MARZO","LUNA LLENA PASCUAL","")</f>
        <v>LUNA LLENA PASCUAL</v>
      </c>
      <c r="S65">
        <f>IF($R$93="MARZO",O65,"")</f>
        <v>25</v>
      </c>
      <c r="T65" s="55" t="s">
        <v>524</v>
      </c>
      <c r="U65" s="43">
        <f>GAUSS!$G$13</f>
        <v>31</v>
      </c>
      <c r="V65" s="55" t="str">
        <f>GAUSS!$H$13</f>
        <v>MARZO</v>
      </c>
      <c r="W65" s="150">
        <f>W64+0</f>
        <v>45016</v>
      </c>
    </row>
    <row r="66" spans="1:23">
      <c r="A66" s="203">
        <f>INT((3*$A$65)/4)-12</f>
        <v>3</v>
      </c>
      <c r="B66" s="224" t="s">
        <v>295</v>
      </c>
      <c r="C66" s="203" t="s">
        <v>684</v>
      </c>
      <c r="D66" s="224" t="s">
        <v>289</v>
      </c>
      <c r="E66" s="203" t="s">
        <v>684</v>
      </c>
      <c r="F66" s="302" t="str">
        <f t="shared" si="10"/>
        <v>04/01/24</v>
      </c>
      <c r="G66" s="233">
        <f t="shared" si="11"/>
        <v>23</v>
      </c>
      <c r="H66" t="str">
        <f t="shared" si="12"/>
        <v>Cuarto Menguante</v>
      </c>
      <c r="J66">
        <f t="shared" si="16"/>
        <v>4</v>
      </c>
      <c r="K66" t="str">
        <f t="shared" si="13"/>
        <v>Jueves</v>
      </c>
      <c r="L66" s="203">
        <f t="shared" si="14"/>
        <v>4</v>
      </c>
      <c r="M66" s="203" t="s">
        <v>294</v>
      </c>
      <c r="N66" s="203">
        <f>VLOOKUP(14,$G$154:$L$183,6,0)</f>
        <v>24</v>
      </c>
      <c r="O66" s="203">
        <f>IF(R93="ABRIL",Q93,N66)</f>
        <v>24</v>
      </c>
      <c r="P66" s="203">
        <f>VLOOKUP(0,$G$154:$L$183,6,0)</f>
        <v>10</v>
      </c>
      <c r="Q66" t="str">
        <f>IF($R$93="ABRIL","L. LLENA PASCUAL","")</f>
        <v/>
      </c>
      <c r="S66" t="str">
        <f>IF($R$93="ABRIL",O66,"")</f>
        <v/>
      </c>
      <c r="T66" s="55" t="s">
        <v>232</v>
      </c>
      <c r="U66" s="43">
        <f>GAUSS!$G$13</f>
        <v>31</v>
      </c>
      <c r="V66" s="55" t="str">
        <f>GAUSS!$H$13</f>
        <v>MARZO</v>
      </c>
      <c r="W66" s="43"/>
    </row>
    <row r="67" spans="1:23">
      <c r="A67" s="203">
        <f>INT((8*$A$65+5)/25)-5</f>
        <v>1</v>
      </c>
      <c r="B67" s="224" t="s">
        <v>297</v>
      </c>
      <c r="C67" s="203" t="s">
        <v>684</v>
      </c>
      <c r="D67" s="224" t="s">
        <v>289</v>
      </c>
      <c r="E67" s="203" t="s">
        <v>684</v>
      </c>
      <c r="F67" s="302" t="str">
        <f t="shared" si="10"/>
        <v>05/01/24</v>
      </c>
      <c r="G67" s="233">
        <f t="shared" si="11"/>
        <v>24</v>
      </c>
      <c r="H67" t="str">
        <f t="shared" si="12"/>
        <v>Cuarto Menguante</v>
      </c>
      <c r="J67">
        <f t="shared" si="16"/>
        <v>5</v>
      </c>
      <c r="K67" t="str">
        <f t="shared" si="13"/>
        <v>Viernes</v>
      </c>
      <c r="L67" s="203">
        <f t="shared" si="14"/>
        <v>5</v>
      </c>
      <c r="M67" s="203" t="s">
        <v>296</v>
      </c>
      <c r="N67" s="203">
        <f>VLOOKUP(14,$G$184:$L$214,6,0)+1</f>
        <v>24</v>
      </c>
      <c r="O67" s="203">
        <f t="shared" si="15"/>
        <v>24</v>
      </c>
      <c r="P67" s="203">
        <f>VLOOKUP(0,$G$184:$L$214,6,0)+1</f>
        <v>10</v>
      </c>
      <c r="T67" s="55"/>
      <c r="U67" s="55"/>
      <c r="V67" s="47">
        <f>IF(V65="ABRIL",4,3)</f>
        <v>3</v>
      </c>
      <c r="W67" s="43"/>
    </row>
    <row r="68" spans="1:23" ht="13.8" thickBot="1">
      <c r="A68" s="203">
        <f>INT(($E$36*5)/4)-10-$A$66</f>
        <v>2517</v>
      </c>
      <c r="B68" s="224" t="s">
        <v>299</v>
      </c>
      <c r="C68" s="203" t="s">
        <v>684</v>
      </c>
      <c r="D68" s="224" t="s">
        <v>289</v>
      </c>
      <c r="E68" s="203" t="s">
        <v>684</v>
      </c>
      <c r="F68" s="302" t="str">
        <f t="shared" si="10"/>
        <v>06/01/24</v>
      </c>
      <c r="G68" s="233">
        <f t="shared" si="11"/>
        <v>25</v>
      </c>
      <c r="H68" t="str">
        <f t="shared" si="12"/>
        <v>Cuarto Menguante</v>
      </c>
      <c r="J68">
        <f t="shared" si="16"/>
        <v>6</v>
      </c>
      <c r="K68" t="str">
        <f t="shared" si="13"/>
        <v>Sábado</v>
      </c>
      <c r="L68" s="203">
        <f t="shared" si="14"/>
        <v>6</v>
      </c>
      <c r="M68" s="203" t="s">
        <v>298</v>
      </c>
      <c r="N68" s="203">
        <f>VLOOKUP(14,$G$215:$L$244,6,0)</f>
        <v>22</v>
      </c>
      <c r="O68" s="203">
        <f t="shared" si="15"/>
        <v>22</v>
      </c>
      <c r="P68" s="203">
        <f>VLOOKUP(0,$G$215:$L$244,6,0)</f>
        <v>8</v>
      </c>
    </row>
    <row r="69" spans="1:23" ht="16.2" thickTop="1">
      <c r="A69" s="446">
        <f>IF(A62&gt;1581,MOD((MOD((11*$A$64+20+$A$67-$A$66),30)+30),30),A83)</f>
        <v>19</v>
      </c>
      <c r="B69" s="224" t="s">
        <v>301</v>
      </c>
      <c r="C69" s="203" t="s">
        <v>684</v>
      </c>
      <c r="D69" s="224" t="s">
        <v>289</v>
      </c>
      <c r="E69" s="203" t="s">
        <v>684</v>
      </c>
      <c r="F69" s="302" t="str">
        <f t="shared" si="10"/>
        <v>07/01/24</v>
      </c>
      <c r="G69" s="233">
        <f t="shared" si="11"/>
        <v>26</v>
      </c>
      <c r="H69" t="str">
        <f t="shared" si="12"/>
        <v>Cuarto Menguante</v>
      </c>
      <c r="J69">
        <f t="shared" si="16"/>
        <v>0</v>
      </c>
      <c r="K69" t="str">
        <f t="shared" si="13"/>
        <v>Domingo</v>
      </c>
      <c r="L69" s="203">
        <f t="shared" si="14"/>
        <v>7</v>
      </c>
      <c r="M69" s="203" t="s">
        <v>300</v>
      </c>
      <c r="N69" s="203">
        <f>VLOOKUP(14,$G$245:$L$275,6,0)+1</f>
        <v>22</v>
      </c>
      <c r="O69" s="203">
        <f t="shared" si="15"/>
        <v>22</v>
      </c>
      <c r="P69" s="203">
        <f>VLOOKUP(0,$G$245:$L$275,6,0)+1</f>
        <v>8</v>
      </c>
      <c r="T69" s="441" t="s">
        <v>685</v>
      </c>
    </row>
    <row r="70" spans="1:23">
      <c r="A70" s="447" t="s">
        <v>686</v>
      </c>
      <c r="B70" s="224" t="s">
        <v>303</v>
      </c>
      <c r="C70" s="203" t="s">
        <v>684</v>
      </c>
      <c r="D70" s="224" t="s">
        <v>289</v>
      </c>
      <c r="E70" s="203" t="s">
        <v>684</v>
      </c>
      <c r="F70" s="302" t="str">
        <f t="shared" si="10"/>
        <v>08/01/24</v>
      </c>
      <c r="G70" s="233">
        <f t="shared" si="11"/>
        <v>27</v>
      </c>
      <c r="H70" t="str">
        <f t="shared" si="12"/>
        <v>Cuarto Menguante</v>
      </c>
      <c r="J70">
        <f t="shared" si="16"/>
        <v>1</v>
      </c>
      <c r="K70" t="str">
        <f t="shared" si="13"/>
        <v>Lunes</v>
      </c>
      <c r="L70" s="203">
        <f t="shared" si="14"/>
        <v>8</v>
      </c>
      <c r="M70" s="203" t="s">
        <v>302</v>
      </c>
      <c r="N70" s="203">
        <f>VLOOKUP(14,$G$276:$L$306,6,0)</f>
        <v>20</v>
      </c>
      <c r="O70" s="203">
        <f t="shared" si="15"/>
        <v>20</v>
      </c>
      <c r="P70" s="203">
        <f>VLOOKUP(0,$G$276:$L$306,6,0)</f>
        <v>6</v>
      </c>
    </row>
    <row r="71" spans="1:23" ht="13.8" thickBot="1">
      <c r="A71" s="448" t="s">
        <v>687</v>
      </c>
      <c r="B71" s="224" t="s">
        <v>305</v>
      </c>
      <c r="C71" s="203" t="s">
        <v>684</v>
      </c>
      <c r="D71" s="224" t="s">
        <v>289</v>
      </c>
      <c r="E71" s="203" t="s">
        <v>684</v>
      </c>
      <c r="F71" s="302" t="str">
        <f t="shared" si="10"/>
        <v>09/01/24</v>
      </c>
      <c r="G71" s="233">
        <f t="shared" si="11"/>
        <v>28</v>
      </c>
      <c r="H71" t="str">
        <f t="shared" si="12"/>
        <v>Cuarto Menguante</v>
      </c>
      <c r="J71">
        <f t="shared" si="16"/>
        <v>2</v>
      </c>
      <c r="K71" t="str">
        <f t="shared" si="13"/>
        <v>Martes</v>
      </c>
      <c r="L71" s="203">
        <f t="shared" si="14"/>
        <v>9</v>
      </c>
      <c r="M71" s="203" t="s">
        <v>304</v>
      </c>
      <c r="N71" s="203">
        <f>VLOOKUP(14,$G$307:$L$336,6,0)+1</f>
        <v>19</v>
      </c>
      <c r="O71" s="203">
        <f t="shared" si="15"/>
        <v>19</v>
      </c>
      <c r="P71" s="203">
        <f>VLOOKUP(0,$G$307:$L$336,6,0)+1</f>
        <v>5</v>
      </c>
    </row>
    <row r="72" spans="1:23" ht="13.8" thickTop="1">
      <c r="A72" s="203" t="str">
        <f>calendario!$BD$58</f>
        <v>AÑO EMBOLISTICO</v>
      </c>
      <c r="B72" s="224" t="s">
        <v>307</v>
      </c>
      <c r="C72" s="203" t="s">
        <v>684</v>
      </c>
      <c r="D72" s="224" t="s">
        <v>289</v>
      </c>
      <c r="E72" s="203" t="s">
        <v>684</v>
      </c>
      <c r="F72" s="302" t="str">
        <f t="shared" si="10"/>
        <v>10/01/24</v>
      </c>
      <c r="G72" s="233">
        <f t="shared" si="11"/>
        <v>29</v>
      </c>
      <c r="H72" t="str">
        <f t="shared" si="12"/>
        <v>Cuarto Menguante</v>
      </c>
      <c r="J72">
        <f t="shared" si="16"/>
        <v>3</v>
      </c>
      <c r="K72" t="str">
        <f t="shared" si="13"/>
        <v>Miércoles</v>
      </c>
      <c r="L72" s="203">
        <f t="shared" si="14"/>
        <v>10</v>
      </c>
      <c r="M72" s="203" t="s">
        <v>306</v>
      </c>
      <c r="N72" s="203">
        <f>VLOOKUP(14,$G$337:$L$367,6,0)</f>
        <v>18</v>
      </c>
      <c r="O72" s="203">
        <f t="shared" si="15"/>
        <v>18</v>
      </c>
      <c r="P72" s="203">
        <f>VLOOKUP(0,$G$337:$L$367,6,0)</f>
        <v>4</v>
      </c>
    </row>
    <row r="73" spans="1:23">
      <c r="A73" s="439" t="s">
        <v>445</v>
      </c>
      <c r="B73" s="224" t="s">
        <v>309</v>
      </c>
      <c r="C73" s="203" t="s">
        <v>684</v>
      </c>
      <c r="D73" s="224" t="s">
        <v>289</v>
      </c>
      <c r="E73" s="203" t="s">
        <v>684</v>
      </c>
      <c r="F73" s="302" t="str">
        <f t="shared" si="10"/>
        <v>11/01/24</v>
      </c>
      <c r="G73" s="233">
        <f t="shared" si="11"/>
        <v>0</v>
      </c>
      <c r="H73" t="str">
        <f t="shared" si="12"/>
        <v>Luna Nueva</v>
      </c>
      <c r="J73">
        <f t="shared" si="16"/>
        <v>4</v>
      </c>
      <c r="K73" t="str">
        <f t="shared" si="13"/>
        <v>Jueves</v>
      </c>
      <c r="L73" s="203">
        <f t="shared" si="14"/>
        <v>11</v>
      </c>
      <c r="M73" s="203" t="s">
        <v>308</v>
      </c>
      <c r="N73" s="203">
        <f>VLOOKUP(14,$G$368:$L$397,6,0)+1</f>
        <v>17</v>
      </c>
      <c r="O73" s="203">
        <f t="shared" si="15"/>
        <v>17</v>
      </c>
      <c r="P73" s="203">
        <f>VLOOKUP(0,$G$368:$L$397,6,0)+1</f>
        <v>3</v>
      </c>
    </row>
    <row r="74" spans="1:23">
      <c r="A74" s="245" t="str">
        <f>calendario!$AU$1</f>
        <v>GF</v>
      </c>
      <c r="B74" s="508">
        <v>12</v>
      </c>
      <c r="C74" s="203" t="s">
        <v>684</v>
      </c>
      <c r="D74" s="224" t="s">
        <v>289</v>
      </c>
      <c r="E74" s="203" t="s">
        <v>684</v>
      </c>
      <c r="F74" s="302" t="str">
        <f t="shared" si="10"/>
        <v>12/01/24</v>
      </c>
      <c r="G74" s="233">
        <f t="shared" si="11"/>
        <v>1</v>
      </c>
      <c r="H74" t="str">
        <f t="shared" si="12"/>
        <v>Luna Nueva</v>
      </c>
      <c r="J74">
        <f t="shared" si="16"/>
        <v>5</v>
      </c>
      <c r="K74" t="str">
        <f t="shared" si="13"/>
        <v>Viernes</v>
      </c>
      <c r="L74" s="203">
        <f t="shared" si="14"/>
        <v>12</v>
      </c>
      <c r="M74" s="203" t="s">
        <v>310</v>
      </c>
      <c r="N74" s="203">
        <f>VLOOKUP(14,$G$398:$L$428,6,0)</f>
        <v>16</v>
      </c>
      <c r="O74" s="203">
        <f t="shared" si="15"/>
        <v>16</v>
      </c>
      <c r="P74" s="203">
        <f>VLOOKUP(0,$G$398:$L$428,6,0)</f>
        <v>2</v>
      </c>
    </row>
    <row r="75" spans="1:23">
      <c r="A75" s="203" t="str">
        <f>IF(LEN(A74)=2,"AÑO BISIESTO", "NO BISIESTO")</f>
        <v>AÑO BISIESTO</v>
      </c>
      <c r="B75" s="224" t="s">
        <v>688</v>
      </c>
      <c r="C75" s="203" t="s">
        <v>684</v>
      </c>
      <c r="D75" s="224" t="s">
        <v>289</v>
      </c>
      <c r="E75" s="203" t="s">
        <v>684</v>
      </c>
      <c r="F75" s="302" t="str">
        <f t="shared" si="10"/>
        <v>13/01/24</v>
      </c>
      <c r="G75" s="233">
        <f t="shared" si="11"/>
        <v>2</v>
      </c>
      <c r="H75" t="str">
        <f t="shared" si="12"/>
        <v>Luna Nueva</v>
      </c>
      <c r="J75">
        <f t="shared" si="16"/>
        <v>6</v>
      </c>
      <c r="K75" t="str">
        <f t="shared" si="13"/>
        <v>Sábado</v>
      </c>
      <c r="L75" s="203">
        <f t="shared" si="14"/>
        <v>13</v>
      </c>
    </row>
    <row r="76" spans="1:23">
      <c r="A76" s="231" t="s">
        <v>503</v>
      </c>
      <c r="B76" s="224" t="s">
        <v>689</v>
      </c>
      <c r="C76" s="203" t="s">
        <v>684</v>
      </c>
      <c r="D76" s="224" t="s">
        <v>289</v>
      </c>
      <c r="E76" s="203" t="s">
        <v>684</v>
      </c>
      <c r="F76" s="302" t="str">
        <f t="shared" si="10"/>
        <v>14/01/24</v>
      </c>
      <c r="G76" s="233">
        <f t="shared" si="11"/>
        <v>3</v>
      </c>
      <c r="H76" t="str">
        <f t="shared" si="12"/>
        <v>Luna Nueva</v>
      </c>
      <c r="J76">
        <f t="shared" si="16"/>
        <v>0</v>
      </c>
      <c r="K76" t="str">
        <f t="shared" si="13"/>
        <v>Domingo</v>
      </c>
      <c r="L76" s="203">
        <f t="shared" si="14"/>
        <v>14</v>
      </c>
      <c r="P76" s="302">
        <v>42955</v>
      </c>
      <c r="R76">
        <f>A69+MONTH(P76)-2+DAY(P76)</f>
        <v>33</v>
      </c>
      <c r="S76">
        <f>R76-30</f>
        <v>3</v>
      </c>
    </row>
    <row r="77" spans="1:23">
      <c r="A77" s="203">
        <f>calendario!$AU$11</f>
        <v>0</v>
      </c>
      <c r="B77" s="224" t="s">
        <v>690</v>
      </c>
      <c r="C77" s="203" t="s">
        <v>684</v>
      </c>
      <c r="D77" s="224" t="s">
        <v>289</v>
      </c>
      <c r="E77" s="203" t="s">
        <v>684</v>
      </c>
      <c r="F77" s="302" t="str">
        <f t="shared" si="10"/>
        <v>15/01/24</v>
      </c>
      <c r="G77" s="233">
        <f t="shared" si="11"/>
        <v>4</v>
      </c>
      <c r="H77" t="str">
        <f t="shared" si="12"/>
        <v>Luna Nueva</v>
      </c>
      <c r="J77">
        <f t="shared" si="16"/>
        <v>1</v>
      </c>
      <c r="K77" t="str">
        <f t="shared" si="13"/>
        <v>Lunes</v>
      </c>
      <c r="L77" s="203">
        <f t="shared" si="14"/>
        <v>15</v>
      </c>
    </row>
    <row r="78" spans="1:23">
      <c r="A78" s="231" t="s">
        <v>691</v>
      </c>
      <c r="B78" s="224" t="s">
        <v>692</v>
      </c>
      <c r="C78" s="203" t="s">
        <v>684</v>
      </c>
      <c r="D78" s="224" t="s">
        <v>289</v>
      </c>
      <c r="E78" s="203" t="s">
        <v>684</v>
      </c>
      <c r="F78" s="302" t="str">
        <f t="shared" si="10"/>
        <v>16/01/24</v>
      </c>
      <c r="G78" s="233">
        <f t="shared" si="11"/>
        <v>5</v>
      </c>
      <c r="H78" t="str">
        <f t="shared" si="12"/>
        <v>Luna Nueva</v>
      </c>
      <c r="J78">
        <f t="shared" si="16"/>
        <v>2</v>
      </c>
      <c r="K78" t="str">
        <f t="shared" si="13"/>
        <v>Martes</v>
      </c>
      <c r="L78" s="203">
        <f t="shared" si="14"/>
        <v>16</v>
      </c>
      <c r="M78" t="s">
        <v>323</v>
      </c>
    </row>
    <row r="79" spans="1:23">
      <c r="A79" s="233">
        <f>calendario!$AX$12</f>
        <v>1</v>
      </c>
      <c r="B79" s="224" t="s">
        <v>693</v>
      </c>
      <c r="C79" s="203" t="s">
        <v>684</v>
      </c>
      <c r="D79" s="224" t="s">
        <v>289</v>
      </c>
      <c r="E79" s="203" t="s">
        <v>684</v>
      </c>
      <c r="F79" s="302" t="str">
        <f t="shared" si="10"/>
        <v>17/01/24</v>
      </c>
      <c r="G79" s="233">
        <f t="shared" si="11"/>
        <v>6</v>
      </c>
      <c r="H79" t="str">
        <f t="shared" si="12"/>
        <v>Cuarto Creciente</v>
      </c>
      <c r="J79">
        <f t="shared" si="16"/>
        <v>3</v>
      </c>
      <c r="K79" t="str">
        <f t="shared" si="13"/>
        <v>Miércoles</v>
      </c>
      <c r="L79" s="203">
        <f t="shared" si="14"/>
        <v>17</v>
      </c>
    </row>
    <row r="80" spans="1:23">
      <c r="A80" s="231" t="s">
        <v>694</v>
      </c>
      <c r="B80" s="224" t="s">
        <v>695</v>
      </c>
      <c r="C80" s="203" t="s">
        <v>684</v>
      </c>
      <c r="D80" s="224" t="s">
        <v>289</v>
      </c>
      <c r="E80" s="203" t="s">
        <v>684</v>
      </c>
      <c r="F80" s="302" t="str">
        <f t="shared" si="10"/>
        <v>18/01/24</v>
      </c>
      <c r="G80" s="233">
        <f t="shared" si="11"/>
        <v>7</v>
      </c>
      <c r="H80" t="str">
        <f t="shared" si="12"/>
        <v>Cuarto Creciente</v>
      </c>
      <c r="J80">
        <f t="shared" si="16"/>
        <v>4</v>
      </c>
      <c r="K80" t="str">
        <f t="shared" si="13"/>
        <v>Jueves</v>
      </c>
      <c r="L80" s="203">
        <f t="shared" si="14"/>
        <v>18</v>
      </c>
      <c r="M80" s="233">
        <f>E36</f>
        <v>2024</v>
      </c>
      <c r="N80" s="3" t="s">
        <v>204</v>
      </c>
      <c r="P80" s="2">
        <f>IF(AND(M80&gt;0,M80&lt;1583),1,IF(M80&lt;326,0,2))</f>
        <v>2</v>
      </c>
      <c r="Q80" s="231" t="s">
        <v>696</v>
      </c>
      <c r="U80" s="535" t="s">
        <v>768</v>
      </c>
    </row>
    <row r="81" spans="1:22">
      <c r="A81" s="233">
        <f>MOD((A62+2),15)+1</f>
        <v>2</v>
      </c>
      <c r="B81" s="224" t="s">
        <v>697</v>
      </c>
      <c r="C81" s="203" t="s">
        <v>684</v>
      </c>
      <c r="D81" s="224" t="s">
        <v>289</v>
      </c>
      <c r="E81" s="203" t="s">
        <v>684</v>
      </c>
      <c r="F81" s="302" t="str">
        <f t="shared" si="10"/>
        <v>19/01/24</v>
      </c>
      <c r="G81" s="233">
        <f t="shared" si="11"/>
        <v>8</v>
      </c>
      <c r="H81" t="str">
        <f t="shared" si="12"/>
        <v>Cuarto Creciente</v>
      </c>
      <c r="J81">
        <f t="shared" si="16"/>
        <v>5</v>
      </c>
      <c r="K81" t="str">
        <f t="shared" si="13"/>
        <v>Viernes</v>
      </c>
      <c r="L81" s="203">
        <f t="shared" si="14"/>
        <v>19</v>
      </c>
    </row>
    <row r="82" spans="1:22">
      <c r="A82" s="231" t="s">
        <v>318</v>
      </c>
      <c r="B82" s="224" t="s">
        <v>698</v>
      </c>
      <c r="C82" s="203" t="s">
        <v>684</v>
      </c>
      <c r="D82" s="224" t="s">
        <v>289</v>
      </c>
      <c r="E82" s="203" t="s">
        <v>684</v>
      </c>
      <c r="F82" s="302" t="str">
        <f t="shared" si="10"/>
        <v>20/01/24</v>
      </c>
      <c r="G82" s="233">
        <f t="shared" si="11"/>
        <v>9</v>
      </c>
      <c r="H82" t="str">
        <f t="shared" si="12"/>
        <v>Cuarto Creciente</v>
      </c>
      <c r="J82">
        <f t="shared" si="16"/>
        <v>6</v>
      </c>
      <c r="K82" t="str">
        <f t="shared" si="13"/>
        <v>Sábado</v>
      </c>
      <c r="L82" s="203">
        <f t="shared" si="14"/>
        <v>20</v>
      </c>
      <c r="U82" s="222">
        <f>MOD((A79+A92-1),7)</f>
        <v>1</v>
      </c>
      <c r="V82" t="str">
        <f>VLOOKUP(U82,H45:I52,2,)</f>
        <v>Lunes</v>
      </c>
    </row>
    <row r="83" spans="1:22">
      <c r="A83" s="203">
        <f>calendario!$AO$81</f>
        <v>28</v>
      </c>
      <c r="B83" s="224" t="s">
        <v>699</v>
      </c>
      <c r="C83" s="203" t="s">
        <v>684</v>
      </c>
      <c r="D83" s="224" t="s">
        <v>289</v>
      </c>
      <c r="E83" s="203" t="s">
        <v>684</v>
      </c>
      <c r="F83" s="302" t="str">
        <f t="shared" si="10"/>
        <v>21/01/24</v>
      </c>
      <c r="G83" s="233">
        <f t="shared" si="11"/>
        <v>10</v>
      </c>
      <c r="H83" t="str">
        <f t="shared" si="12"/>
        <v>Cuarto Creciente</v>
      </c>
      <c r="J83">
        <f t="shared" si="16"/>
        <v>0</v>
      </c>
      <c r="K83" t="str">
        <f t="shared" si="13"/>
        <v>Domingo</v>
      </c>
      <c r="L83" s="203">
        <f t="shared" si="14"/>
        <v>21</v>
      </c>
      <c r="N83" s="234">
        <f>MOD(M80,19)</f>
        <v>10</v>
      </c>
    </row>
    <row r="84" spans="1:22">
      <c r="B84" s="224" t="s">
        <v>700</v>
      </c>
      <c r="C84" s="203" t="s">
        <v>684</v>
      </c>
      <c r="D84" s="224" t="s">
        <v>289</v>
      </c>
      <c r="E84" s="203" t="s">
        <v>684</v>
      </c>
      <c r="F84" s="302" t="str">
        <f t="shared" si="10"/>
        <v>22/01/24</v>
      </c>
      <c r="G84" s="233">
        <f t="shared" si="11"/>
        <v>11</v>
      </c>
      <c r="H84" t="str">
        <f t="shared" si="12"/>
        <v>Cuarto Creciente</v>
      </c>
      <c r="J84">
        <f t="shared" si="16"/>
        <v>1</v>
      </c>
      <c r="K84" t="str">
        <f t="shared" si="13"/>
        <v>Lunes</v>
      </c>
      <c r="L84" s="203">
        <f t="shared" si="14"/>
        <v>22</v>
      </c>
    </row>
    <row r="85" spans="1:22">
      <c r="A85" s="231" t="s">
        <v>701</v>
      </c>
      <c r="B85" s="224" t="s">
        <v>702</v>
      </c>
      <c r="C85" s="203" t="s">
        <v>684</v>
      </c>
      <c r="D85" s="224" t="s">
        <v>289</v>
      </c>
      <c r="E85" s="203" t="s">
        <v>684</v>
      </c>
      <c r="F85" s="302" t="str">
        <f t="shared" si="10"/>
        <v>23/01/24</v>
      </c>
      <c r="G85" s="233">
        <f t="shared" si="11"/>
        <v>12</v>
      </c>
      <c r="H85" t="str">
        <f t="shared" si="12"/>
        <v>Cuarto Creciente</v>
      </c>
      <c r="J85">
        <f t="shared" si="16"/>
        <v>2</v>
      </c>
      <c r="K85" t="str">
        <f t="shared" si="13"/>
        <v>Martes</v>
      </c>
      <c r="L85" s="203">
        <f t="shared" si="14"/>
        <v>23</v>
      </c>
      <c r="N85" s="2">
        <f>MOD((19*N83+15),30)</f>
        <v>25</v>
      </c>
      <c r="U85" s="231"/>
    </row>
    <row r="86" spans="1:22">
      <c r="A86" s="203">
        <f>calendario!$AK$84</f>
        <v>11</v>
      </c>
      <c r="B86" s="224" t="s">
        <v>703</v>
      </c>
      <c r="C86" s="203" t="s">
        <v>684</v>
      </c>
      <c r="D86" s="224" t="s">
        <v>289</v>
      </c>
      <c r="E86" s="203" t="s">
        <v>684</v>
      </c>
      <c r="F86" s="302" t="str">
        <f t="shared" si="10"/>
        <v>24/01/24</v>
      </c>
      <c r="G86" s="233">
        <f t="shared" si="11"/>
        <v>13</v>
      </c>
      <c r="H86" t="str">
        <f t="shared" si="12"/>
        <v>Cuarto Creciente</v>
      </c>
      <c r="J86">
        <f t="shared" si="16"/>
        <v>3</v>
      </c>
      <c r="K86" t="str">
        <f t="shared" si="13"/>
        <v>Miércoles</v>
      </c>
      <c r="L86" s="203">
        <f t="shared" si="14"/>
        <v>24</v>
      </c>
    </row>
    <row r="87" spans="1:22">
      <c r="A87" s="231" t="s">
        <v>429</v>
      </c>
      <c r="B87" s="224" t="s">
        <v>704</v>
      </c>
      <c r="C87" s="203" t="s">
        <v>684</v>
      </c>
      <c r="D87" s="224" t="s">
        <v>289</v>
      </c>
      <c r="E87" s="203" t="s">
        <v>684</v>
      </c>
      <c r="F87" s="302" t="str">
        <f t="shared" si="10"/>
        <v>25/01/24</v>
      </c>
      <c r="G87" s="233">
        <f t="shared" si="11"/>
        <v>14</v>
      </c>
      <c r="H87" t="str">
        <f t="shared" si="12"/>
        <v>Luna Llena</v>
      </c>
      <c r="J87">
        <f t="shared" si="16"/>
        <v>4</v>
      </c>
      <c r="K87" t="str">
        <f t="shared" si="13"/>
        <v>Jueves</v>
      </c>
      <c r="L87" s="203">
        <f t="shared" si="14"/>
        <v>25</v>
      </c>
      <c r="N87" s="2">
        <f>INT(M80/4)</f>
        <v>506</v>
      </c>
    </row>
    <row r="88" spans="1:22">
      <c r="A88" s="203">
        <f>calendario!$AV$82</f>
        <v>8</v>
      </c>
      <c r="B88" s="224" t="s">
        <v>705</v>
      </c>
      <c r="C88" s="203" t="s">
        <v>684</v>
      </c>
      <c r="D88" s="224" t="s">
        <v>289</v>
      </c>
      <c r="E88" s="203" t="s">
        <v>684</v>
      </c>
      <c r="F88" s="302" t="str">
        <f t="shared" si="10"/>
        <v>26/01/24</v>
      </c>
      <c r="G88" s="233">
        <f t="shared" si="11"/>
        <v>15</v>
      </c>
      <c r="H88" t="str">
        <f t="shared" si="12"/>
        <v>Luna Llena</v>
      </c>
      <c r="J88">
        <f t="shared" si="16"/>
        <v>5</v>
      </c>
      <c r="K88" t="str">
        <f t="shared" si="13"/>
        <v>Viernes</v>
      </c>
      <c r="L88" s="203">
        <f t="shared" si="14"/>
        <v>26</v>
      </c>
      <c r="N88" s="2">
        <f>MOD((M80+N87+N85),7)</f>
        <v>0</v>
      </c>
      <c r="O88" t="str">
        <f>VLOOKUP(N88,$H$45:$I$51,2)</f>
        <v>Domingo</v>
      </c>
    </row>
    <row r="89" spans="1:22">
      <c r="B89" s="224" t="s">
        <v>706</v>
      </c>
      <c r="C89" s="203" t="s">
        <v>684</v>
      </c>
      <c r="D89" s="224" t="s">
        <v>289</v>
      </c>
      <c r="E89" s="203" t="s">
        <v>684</v>
      </c>
      <c r="F89" s="302" t="str">
        <f t="shared" si="10"/>
        <v>27/01/24</v>
      </c>
      <c r="G89" s="233">
        <f t="shared" si="11"/>
        <v>16</v>
      </c>
      <c r="H89" t="str">
        <f t="shared" si="12"/>
        <v>Luna Llena</v>
      </c>
      <c r="J89">
        <f t="shared" si="16"/>
        <v>6</v>
      </c>
      <c r="K89" t="str">
        <f t="shared" si="13"/>
        <v>Sábado</v>
      </c>
      <c r="L89" s="203">
        <f t="shared" si="14"/>
        <v>27</v>
      </c>
    </row>
    <row r="90" spans="1:22">
      <c r="A90" s="231" t="s">
        <v>707</v>
      </c>
      <c r="B90" s="224" t="s">
        <v>708</v>
      </c>
      <c r="C90" s="203" t="s">
        <v>684</v>
      </c>
      <c r="D90" s="224" t="s">
        <v>289</v>
      </c>
      <c r="E90" s="203" t="s">
        <v>684</v>
      </c>
      <c r="F90" s="302" t="str">
        <f t="shared" si="10"/>
        <v>28/01/24</v>
      </c>
      <c r="G90" s="233">
        <f t="shared" si="11"/>
        <v>17</v>
      </c>
      <c r="H90" t="str">
        <f t="shared" si="12"/>
        <v>Luna Llena</v>
      </c>
      <c r="J90">
        <f t="shared" si="16"/>
        <v>0</v>
      </c>
      <c r="K90" t="str">
        <f t="shared" si="13"/>
        <v>Domingo</v>
      </c>
      <c r="L90" s="203">
        <f t="shared" si="14"/>
        <v>28</v>
      </c>
      <c r="N90" s="3" t="s">
        <v>28</v>
      </c>
    </row>
    <row r="91" spans="1:22" ht="13.8" thickBot="1">
      <c r="A91" s="231" t="s">
        <v>709</v>
      </c>
      <c r="B91" s="224" t="s">
        <v>710</v>
      </c>
      <c r="C91" s="203" t="s">
        <v>684</v>
      </c>
      <c r="D91" s="224" t="s">
        <v>289</v>
      </c>
      <c r="E91" s="203" t="s">
        <v>684</v>
      </c>
      <c r="F91" s="302" t="str">
        <f t="shared" si="10"/>
        <v>29/01/24</v>
      </c>
      <c r="G91" s="233">
        <f t="shared" si="11"/>
        <v>18</v>
      </c>
      <c r="H91" t="str">
        <f t="shared" si="12"/>
        <v>Luna Llena</v>
      </c>
      <c r="J91">
        <f t="shared" si="16"/>
        <v>1</v>
      </c>
      <c r="K91" t="str">
        <f t="shared" si="13"/>
        <v>Lunes</v>
      </c>
      <c r="L91" s="203">
        <f t="shared" si="14"/>
        <v>29</v>
      </c>
    </row>
    <row r="92" spans="1:22">
      <c r="A92" s="203">
        <f>calendario!$AX$80</f>
        <v>1</v>
      </c>
      <c r="B92" s="224" t="s">
        <v>711</v>
      </c>
      <c r="C92" s="203" t="s">
        <v>684</v>
      </c>
      <c r="D92" s="224" t="s">
        <v>289</v>
      </c>
      <c r="E92" s="203" t="s">
        <v>684</v>
      </c>
      <c r="F92" s="302" t="str">
        <f t="shared" si="10"/>
        <v>30/01/24</v>
      </c>
      <c r="G92" s="233">
        <f t="shared" si="11"/>
        <v>19</v>
      </c>
      <c r="H92" t="str">
        <f t="shared" si="12"/>
        <v>Luna Llena</v>
      </c>
      <c r="J92">
        <f t="shared" si="16"/>
        <v>2</v>
      </c>
      <c r="K92" t="str">
        <f t="shared" si="13"/>
        <v>Martes</v>
      </c>
      <c r="L92" s="203">
        <f t="shared" si="14"/>
        <v>30</v>
      </c>
      <c r="N92" s="203">
        <f>INT(M80/100)</f>
        <v>20</v>
      </c>
      <c r="O92" s="132"/>
      <c r="P92" s="133"/>
      <c r="Q92" s="133"/>
      <c r="R92" s="133"/>
      <c r="S92" s="134" t="s">
        <v>24</v>
      </c>
    </row>
    <row r="93" spans="1:22">
      <c r="B93" s="224" t="s">
        <v>712</v>
      </c>
      <c r="C93" s="203" t="s">
        <v>684</v>
      </c>
      <c r="D93" s="224" t="s">
        <v>289</v>
      </c>
      <c r="E93" s="203" t="s">
        <v>684</v>
      </c>
      <c r="F93" s="302" t="str">
        <f t="shared" si="10"/>
        <v>31/01/24</v>
      </c>
      <c r="G93" s="233">
        <f t="shared" si="11"/>
        <v>20</v>
      </c>
      <c r="H93" t="str">
        <f t="shared" si="12"/>
        <v>Luna Llena</v>
      </c>
      <c r="J93">
        <f t="shared" si="16"/>
        <v>3</v>
      </c>
      <c r="K93" t="str">
        <f t="shared" si="13"/>
        <v>Miércoles</v>
      </c>
      <c r="L93" s="203">
        <f t="shared" si="14"/>
        <v>31</v>
      </c>
      <c r="N93" s="2">
        <f>INT(N92/4)</f>
        <v>5</v>
      </c>
      <c r="O93" s="135" t="str">
        <f>IF(P80&lt;&gt;0,"LUNA LLENA PASCUAL","ERROR EN L'ANY")</f>
        <v>LUNA LLENA PASCUAL</v>
      </c>
      <c r="P93" s="136"/>
      <c r="Q93" s="136">
        <f>IF(O94&lt;32,O94,O94-31)</f>
        <v>25</v>
      </c>
      <c r="R93" s="136" t="str">
        <f>IF(O94&gt;31,"ABRIL","MARZO")</f>
        <v>MARZO</v>
      </c>
      <c r="S93" s="137" t="str">
        <f>IF(P80=1,O88,O103)</f>
        <v>Lunes</v>
      </c>
    </row>
    <row r="94" spans="1:22" ht="13.8" thickBot="1">
      <c r="A94" s="231" t="s">
        <v>682</v>
      </c>
      <c r="B94" s="224" t="s">
        <v>289</v>
      </c>
      <c r="C94" s="203" t="s">
        <v>684</v>
      </c>
      <c r="D94" s="224" t="s">
        <v>291</v>
      </c>
      <c r="E94" s="203" t="s">
        <v>684</v>
      </c>
      <c r="F94" s="302" t="str">
        <f t="shared" si="10"/>
        <v>01/02/24</v>
      </c>
      <c r="G94" s="233">
        <f t="shared" si="11"/>
        <v>21</v>
      </c>
      <c r="H94" t="str">
        <f t="shared" si="12"/>
        <v>Cuarto Menguante</v>
      </c>
      <c r="J94">
        <f>calendario!$AB$8</f>
        <v>4</v>
      </c>
      <c r="K94" t="str">
        <f t="shared" si="13"/>
        <v>Jueves</v>
      </c>
      <c r="L94" s="203">
        <f t="shared" si="14"/>
        <v>1</v>
      </c>
      <c r="N94" s="2">
        <f>INT((8*N92+13)/25)</f>
        <v>6</v>
      </c>
      <c r="O94" s="138">
        <f>IF(P80=1,21+N85,21+N100)</f>
        <v>25</v>
      </c>
      <c r="P94" s="139"/>
      <c r="Q94" s="140" t="str">
        <f>IF(P80=1," CALENDARIO JULIANO",IF(P80=2,"CALENDARIO GREGORIANO","POCO FIABLE"))</f>
        <v>CALENDARIO GREGORIANO</v>
      </c>
      <c r="R94" s="139"/>
      <c r="S94" s="141"/>
    </row>
    <row r="95" spans="1:22">
      <c r="A95" s="231" t="s">
        <v>709</v>
      </c>
      <c r="B95" s="224" t="s">
        <v>291</v>
      </c>
      <c r="C95" s="203" t="s">
        <v>684</v>
      </c>
      <c r="D95" s="224" t="s">
        <v>291</v>
      </c>
      <c r="E95" s="203" t="s">
        <v>684</v>
      </c>
      <c r="F95" s="302" t="str">
        <f t="shared" si="10"/>
        <v>02/02/24</v>
      </c>
      <c r="G95" s="233">
        <f t="shared" si="11"/>
        <v>22</v>
      </c>
      <c r="H95" t="str">
        <f t="shared" si="12"/>
        <v>Cuarto Menguante</v>
      </c>
      <c r="J95">
        <f>IF(J94&lt;6,J94+1,0)</f>
        <v>5</v>
      </c>
      <c r="K95" t="str">
        <f t="shared" si="13"/>
        <v>Viernes</v>
      </c>
      <c r="L95" s="203">
        <f t="shared" si="14"/>
        <v>2</v>
      </c>
      <c r="N95" s="2">
        <f>MOD((N92-N93-N94+19*N83+15),30)</f>
        <v>4</v>
      </c>
      <c r="Q95" s="449">
        <f>Q96+0</f>
        <v>45010</v>
      </c>
      <c r="R95" s="450"/>
    </row>
    <row r="96" spans="1:22">
      <c r="A96" s="449">
        <f>A101-13</f>
        <v>44997</v>
      </c>
      <c r="B96" s="224" t="s">
        <v>293</v>
      </c>
      <c r="C96" s="203" t="s">
        <v>684</v>
      </c>
      <c r="D96" s="224" t="s">
        <v>291</v>
      </c>
      <c r="E96" s="203" t="s">
        <v>684</v>
      </c>
      <c r="F96" s="302" t="str">
        <f t="shared" si="10"/>
        <v>03/02/24</v>
      </c>
      <c r="G96" s="233">
        <f t="shared" si="11"/>
        <v>23</v>
      </c>
      <c r="H96" t="str">
        <f t="shared" si="12"/>
        <v>Cuarto Menguante</v>
      </c>
      <c r="J96">
        <f t="shared" ref="J96:J121" si="17">IF(J95&lt;6,J95+1,0)</f>
        <v>6</v>
      </c>
      <c r="K96" t="str">
        <f t="shared" si="13"/>
        <v>Sábado</v>
      </c>
      <c r="L96" s="203">
        <f t="shared" si="14"/>
        <v>3</v>
      </c>
      <c r="N96" s="2">
        <f>INT(N95/28)</f>
        <v>0</v>
      </c>
      <c r="Q96" s="451" t="str">
        <f>CONCATENATE(Q93,R93)</f>
        <v>25MARZO</v>
      </c>
      <c r="R96" s="452"/>
    </row>
    <row r="97" spans="1:17">
      <c r="B97" s="224" t="s">
        <v>295</v>
      </c>
      <c r="C97" s="203" t="s">
        <v>684</v>
      </c>
      <c r="D97" s="224" t="s">
        <v>291</v>
      </c>
      <c r="E97" s="203" t="s">
        <v>684</v>
      </c>
      <c r="F97" s="302" t="str">
        <f t="shared" si="10"/>
        <v>04/02/24</v>
      </c>
      <c r="G97" s="233">
        <f t="shared" si="11"/>
        <v>24</v>
      </c>
      <c r="H97" t="str">
        <f t="shared" si="12"/>
        <v>Cuarto Menguante</v>
      </c>
      <c r="J97">
        <f t="shared" si="17"/>
        <v>0</v>
      </c>
      <c r="K97" t="str">
        <f t="shared" si="13"/>
        <v>Domingo</v>
      </c>
      <c r="L97" s="203">
        <f t="shared" si="14"/>
        <v>4</v>
      </c>
      <c r="N97" s="2">
        <f>INT(29/(N95+1))</f>
        <v>5</v>
      </c>
      <c r="O97" s="487" t="s">
        <v>45</v>
      </c>
    </row>
    <row r="98" spans="1:17">
      <c r="B98" s="224" t="s">
        <v>297</v>
      </c>
      <c r="C98" s="203" t="s">
        <v>684</v>
      </c>
      <c r="D98" s="224" t="s">
        <v>291</v>
      </c>
      <c r="E98" s="203" t="s">
        <v>684</v>
      </c>
      <c r="F98" s="302" t="str">
        <f t="shared" si="10"/>
        <v>05/02/24</v>
      </c>
      <c r="G98" s="233">
        <f t="shared" si="11"/>
        <v>25</v>
      </c>
      <c r="H98" t="str">
        <f t="shared" si="12"/>
        <v>Cuarto Menguante</v>
      </c>
      <c r="J98">
        <f t="shared" si="17"/>
        <v>1</v>
      </c>
      <c r="K98" t="str">
        <f t="shared" si="13"/>
        <v>Lunes</v>
      </c>
      <c r="L98" s="203">
        <f t="shared" si="14"/>
        <v>5</v>
      </c>
      <c r="N98" s="2">
        <f>INT((21-N83)/11)</f>
        <v>1</v>
      </c>
      <c r="O98" s="487" t="s">
        <v>709</v>
      </c>
    </row>
    <row r="99" spans="1:17">
      <c r="A99" s="231" t="s">
        <v>588</v>
      </c>
      <c r="B99" s="224" t="s">
        <v>299</v>
      </c>
      <c r="C99" s="203" t="s">
        <v>684</v>
      </c>
      <c r="D99" s="224" t="s">
        <v>291</v>
      </c>
      <c r="E99" s="203" t="s">
        <v>684</v>
      </c>
      <c r="F99" s="302" t="str">
        <f t="shared" si="10"/>
        <v>06/02/24</v>
      </c>
      <c r="G99" s="233">
        <f t="shared" si="11"/>
        <v>26</v>
      </c>
      <c r="H99" t="str">
        <f t="shared" si="12"/>
        <v>Cuarto Menguante</v>
      </c>
      <c r="J99">
        <f t="shared" si="17"/>
        <v>2</v>
      </c>
      <c r="K99" t="str">
        <f t="shared" si="13"/>
        <v>Martes</v>
      </c>
      <c r="L99" s="203">
        <f t="shared" si="14"/>
        <v>6</v>
      </c>
      <c r="N99" s="2">
        <f>N95-N96*(1-N96*N97*N98)</f>
        <v>4</v>
      </c>
      <c r="O99" s="486">
        <f>A106</f>
        <v>45016</v>
      </c>
    </row>
    <row r="100" spans="1:17">
      <c r="A100" s="231" t="s">
        <v>709</v>
      </c>
      <c r="B100" s="224" t="s">
        <v>301</v>
      </c>
      <c r="C100" s="203" t="s">
        <v>684</v>
      </c>
      <c r="D100" s="224" t="s">
        <v>291</v>
      </c>
      <c r="E100" s="203" t="s">
        <v>684</v>
      </c>
      <c r="F100" s="302" t="str">
        <f t="shared" si="10"/>
        <v>07/02/24</v>
      </c>
      <c r="G100" s="233">
        <f t="shared" si="11"/>
        <v>27</v>
      </c>
      <c r="H100" t="str">
        <f t="shared" si="12"/>
        <v>Cuarto Menguante</v>
      </c>
      <c r="J100">
        <f t="shared" si="17"/>
        <v>3</v>
      </c>
      <c r="K100" t="str">
        <f t="shared" si="13"/>
        <v>Miércoles</v>
      </c>
      <c r="L100" s="203">
        <f t="shared" si="14"/>
        <v>7</v>
      </c>
      <c r="N100" s="2">
        <f>IF(N99&gt;28,28,N99)</f>
        <v>4</v>
      </c>
    </row>
    <row r="101" spans="1:17">
      <c r="A101" s="449">
        <f>Q95</f>
        <v>45010</v>
      </c>
      <c r="B101" s="224" t="s">
        <v>303</v>
      </c>
      <c r="C101" s="203" t="s">
        <v>684</v>
      </c>
      <c r="D101" s="224" t="s">
        <v>291</v>
      </c>
      <c r="E101" s="203" t="s">
        <v>684</v>
      </c>
      <c r="F101" s="302" t="str">
        <f t="shared" si="10"/>
        <v>08/02/24</v>
      </c>
      <c r="G101" s="233">
        <f t="shared" si="11"/>
        <v>28</v>
      </c>
      <c r="H101" t="str">
        <f t="shared" si="12"/>
        <v>Cuarto Menguante</v>
      </c>
      <c r="J101">
        <f t="shared" si="17"/>
        <v>4</v>
      </c>
      <c r="K101" t="str">
        <f t="shared" si="13"/>
        <v>Jueves</v>
      </c>
      <c r="L101" s="203">
        <f t="shared" si="14"/>
        <v>8</v>
      </c>
      <c r="P101" s="231" t="s">
        <v>656</v>
      </c>
    </row>
    <row r="102" spans="1:17">
      <c r="A102" t="str">
        <f>S93</f>
        <v>Lunes</v>
      </c>
      <c r="B102" s="224" t="s">
        <v>305</v>
      </c>
      <c r="C102" s="203" t="s">
        <v>684</v>
      </c>
      <c r="D102" s="224" t="s">
        <v>291</v>
      </c>
      <c r="E102" s="203" t="s">
        <v>684</v>
      </c>
      <c r="F102" s="302" t="str">
        <f t="shared" si="10"/>
        <v>09/02/24</v>
      </c>
      <c r="G102" s="233">
        <f t="shared" si="11"/>
        <v>29</v>
      </c>
      <c r="H102" t="str">
        <f t="shared" si="12"/>
        <v>Cuarto Menguante</v>
      </c>
      <c r="J102">
        <f t="shared" si="17"/>
        <v>5</v>
      </c>
      <c r="K102" t="str">
        <f t="shared" si="13"/>
        <v>Viernes</v>
      </c>
      <c r="L102" s="203">
        <f t="shared" si="14"/>
        <v>9</v>
      </c>
      <c r="P102">
        <v>1</v>
      </c>
      <c r="Q102" s="231" t="s">
        <v>713</v>
      </c>
    </row>
    <row r="103" spans="1:17">
      <c r="B103" s="224" t="s">
        <v>307</v>
      </c>
      <c r="C103" s="203" t="s">
        <v>684</v>
      </c>
      <c r="D103" s="224" t="s">
        <v>291</v>
      </c>
      <c r="E103" s="203" t="s">
        <v>684</v>
      </c>
      <c r="F103" s="302" t="str">
        <f t="shared" si="10"/>
        <v>10/02/24</v>
      </c>
      <c r="G103" s="233">
        <f t="shared" si="11"/>
        <v>0</v>
      </c>
      <c r="H103" t="str">
        <f t="shared" si="12"/>
        <v>Luna Nueva</v>
      </c>
      <c r="J103">
        <f t="shared" si="17"/>
        <v>6</v>
      </c>
      <c r="K103" t="str">
        <f t="shared" si="13"/>
        <v>Sábado</v>
      </c>
      <c r="L103" s="203">
        <f t="shared" si="14"/>
        <v>10</v>
      </c>
      <c r="N103" s="235">
        <f>MOD((M80+N87+N100+2-N92+N93),7)</f>
        <v>1</v>
      </c>
      <c r="O103" t="str">
        <f>VLOOKUP(N103,$H$45:$I$51,2)</f>
        <v>Lunes</v>
      </c>
      <c r="P103">
        <v>2</v>
      </c>
      <c r="Q103" s="231" t="s">
        <v>714</v>
      </c>
    </row>
    <row r="104" spans="1:17">
      <c r="A104" s="487" t="s">
        <v>45</v>
      </c>
      <c r="B104" s="224" t="s">
        <v>309</v>
      </c>
      <c r="C104" s="203" t="s">
        <v>684</v>
      </c>
      <c r="D104" s="224" t="s">
        <v>291</v>
      </c>
      <c r="E104" s="203" t="s">
        <v>684</v>
      </c>
      <c r="F104" s="302" t="str">
        <f t="shared" si="10"/>
        <v>11/02/24</v>
      </c>
      <c r="G104" s="233">
        <f t="shared" si="11"/>
        <v>1</v>
      </c>
      <c r="H104" t="str">
        <f t="shared" si="12"/>
        <v>Luna Nueva</v>
      </c>
      <c r="J104">
        <f t="shared" si="17"/>
        <v>0</v>
      </c>
      <c r="K104" t="str">
        <f t="shared" si="13"/>
        <v>Domingo</v>
      </c>
      <c r="L104" s="203">
        <f t="shared" si="14"/>
        <v>11</v>
      </c>
      <c r="P104">
        <v>3</v>
      </c>
      <c r="Q104" s="231" t="s">
        <v>715</v>
      </c>
    </row>
    <row r="105" spans="1:17">
      <c r="A105" s="487" t="s">
        <v>709</v>
      </c>
      <c r="B105" s="224" t="s">
        <v>311</v>
      </c>
      <c r="C105" s="203" t="s">
        <v>684</v>
      </c>
      <c r="D105" s="224" t="s">
        <v>291</v>
      </c>
      <c r="E105" s="203" t="s">
        <v>684</v>
      </c>
      <c r="F105" s="302" t="str">
        <f t="shared" si="10"/>
        <v>12/02/24</v>
      </c>
      <c r="G105" s="233">
        <f t="shared" si="11"/>
        <v>2</v>
      </c>
      <c r="H105" t="str">
        <f t="shared" si="12"/>
        <v>Luna Nueva</v>
      </c>
      <c r="J105">
        <f t="shared" si="17"/>
        <v>1</v>
      </c>
      <c r="K105" t="str">
        <f t="shared" si="13"/>
        <v>Lunes</v>
      </c>
      <c r="L105" s="203">
        <f t="shared" si="14"/>
        <v>12</v>
      </c>
      <c r="P105">
        <v>4</v>
      </c>
      <c r="Q105" s="231" t="s">
        <v>716</v>
      </c>
    </row>
    <row r="106" spans="1:17">
      <c r="A106" s="486">
        <f>W65</f>
        <v>45016</v>
      </c>
      <c r="B106" s="224" t="s">
        <v>688</v>
      </c>
      <c r="C106" s="203" t="s">
        <v>684</v>
      </c>
      <c r="D106" s="224" t="s">
        <v>291</v>
      </c>
      <c r="E106" s="203" t="s">
        <v>684</v>
      </c>
      <c r="F106" s="302" t="str">
        <f t="shared" si="10"/>
        <v>13/02/24</v>
      </c>
      <c r="G106" s="233">
        <f t="shared" si="11"/>
        <v>3</v>
      </c>
      <c r="H106" t="str">
        <f t="shared" si="12"/>
        <v>Luna Nueva</v>
      </c>
      <c r="J106">
        <f t="shared" si="17"/>
        <v>2</v>
      </c>
      <c r="K106" t="str">
        <f t="shared" si="13"/>
        <v>Martes</v>
      </c>
      <c r="L106" s="203">
        <f t="shared" si="14"/>
        <v>13</v>
      </c>
      <c r="P106">
        <v>5</v>
      </c>
      <c r="Q106" s="231" t="s">
        <v>223</v>
      </c>
    </row>
    <row r="107" spans="1:17">
      <c r="B107" s="224" t="s">
        <v>689</v>
      </c>
      <c r="C107" s="203" t="s">
        <v>684</v>
      </c>
      <c r="D107" s="224" t="s">
        <v>291</v>
      </c>
      <c r="E107" s="203" t="s">
        <v>684</v>
      </c>
      <c r="F107" s="302" t="str">
        <f t="shared" si="10"/>
        <v>14/02/24</v>
      </c>
      <c r="G107" s="233">
        <f t="shared" si="11"/>
        <v>4</v>
      </c>
      <c r="H107" t="str">
        <f t="shared" si="12"/>
        <v>Luna Nueva</v>
      </c>
      <c r="J107">
        <f t="shared" si="17"/>
        <v>3</v>
      </c>
      <c r="K107" t="str">
        <f t="shared" si="13"/>
        <v>Miércoles</v>
      </c>
      <c r="L107" s="203">
        <f t="shared" si="14"/>
        <v>14</v>
      </c>
      <c r="N107" s="231" t="s">
        <v>325</v>
      </c>
      <c r="P107">
        <v>6</v>
      </c>
      <c r="Q107" s="231" t="s">
        <v>717</v>
      </c>
    </row>
    <row r="108" spans="1:17">
      <c r="B108" s="224" t="s">
        <v>690</v>
      </c>
      <c r="C108" s="203" t="s">
        <v>684</v>
      </c>
      <c r="D108" s="224" t="s">
        <v>291</v>
      </c>
      <c r="E108" s="203" t="s">
        <v>684</v>
      </c>
      <c r="F108" s="302" t="str">
        <f t="shared" si="10"/>
        <v>15/02/24</v>
      </c>
      <c r="G108" s="233">
        <f t="shared" si="11"/>
        <v>5</v>
      </c>
      <c r="H108" t="str">
        <f t="shared" si="12"/>
        <v>Luna Nueva</v>
      </c>
      <c r="J108">
        <f t="shared" si="17"/>
        <v>4</v>
      </c>
      <c r="K108" t="str">
        <f t="shared" si="13"/>
        <v>Jueves</v>
      </c>
      <c r="L108" s="203">
        <f t="shared" si="14"/>
        <v>15</v>
      </c>
      <c r="N108" s="231" t="s">
        <v>326</v>
      </c>
      <c r="P108">
        <v>7</v>
      </c>
      <c r="Q108" s="231" t="s">
        <v>718</v>
      </c>
    </row>
    <row r="109" spans="1:17">
      <c r="B109" s="224" t="s">
        <v>692</v>
      </c>
      <c r="C109" s="203" t="s">
        <v>684</v>
      </c>
      <c r="D109" s="224" t="s">
        <v>291</v>
      </c>
      <c r="E109" s="203" t="s">
        <v>684</v>
      </c>
      <c r="F109" s="302" t="str">
        <f t="shared" si="10"/>
        <v>16/02/24</v>
      </c>
      <c r="G109" s="233">
        <f t="shared" si="11"/>
        <v>6</v>
      </c>
      <c r="H109" t="str">
        <f t="shared" si="12"/>
        <v>Cuarto Creciente</v>
      </c>
      <c r="J109">
        <f t="shared" si="17"/>
        <v>5</v>
      </c>
      <c r="K109" t="str">
        <f t="shared" si="13"/>
        <v>Viernes</v>
      </c>
      <c r="L109" s="203">
        <f t="shared" si="14"/>
        <v>16</v>
      </c>
      <c r="N109" s="203">
        <f>$U$82</f>
        <v>1</v>
      </c>
      <c r="P109">
        <v>8</v>
      </c>
      <c r="Q109" s="231" t="s">
        <v>719</v>
      </c>
    </row>
    <row r="110" spans="1:17">
      <c r="B110" s="224" t="s">
        <v>693</v>
      </c>
      <c r="C110" s="203" t="s">
        <v>684</v>
      </c>
      <c r="D110" s="224" t="s">
        <v>291</v>
      </c>
      <c r="E110" s="203" t="s">
        <v>684</v>
      </c>
      <c r="F110" s="302" t="str">
        <f t="shared" si="10"/>
        <v>17/02/24</v>
      </c>
      <c r="G110" s="233">
        <f t="shared" si="11"/>
        <v>7</v>
      </c>
      <c r="H110" t="str">
        <f t="shared" si="12"/>
        <v>Cuarto Creciente</v>
      </c>
      <c r="J110">
        <f t="shared" si="17"/>
        <v>6</v>
      </c>
      <c r="K110" t="str">
        <f t="shared" si="13"/>
        <v>Sábado</v>
      </c>
      <c r="L110" s="203">
        <f t="shared" si="14"/>
        <v>17</v>
      </c>
      <c r="P110">
        <v>9</v>
      </c>
      <c r="Q110" s="231" t="s">
        <v>720</v>
      </c>
    </row>
    <row r="111" spans="1:17">
      <c r="B111" s="224" t="s">
        <v>695</v>
      </c>
      <c r="C111" s="203" t="s">
        <v>684</v>
      </c>
      <c r="D111" s="224" t="s">
        <v>291</v>
      </c>
      <c r="E111" s="203" t="s">
        <v>684</v>
      </c>
      <c r="F111" s="302" t="str">
        <f t="shared" si="10"/>
        <v>18/02/24</v>
      </c>
      <c r="G111" s="233">
        <f t="shared" si="11"/>
        <v>8</v>
      </c>
      <c r="H111" t="str">
        <f t="shared" si="12"/>
        <v>Cuarto Creciente</v>
      </c>
      <c r="J111">
        <f t="shared" si="17"/>
        <v>0</v>
      </c>
      <c r="K111" t="str">
        <f t="shared" si="13"/>
        <v>Domingo</v>
      </c>
      <c r="L111" s="203">
        <f t="shared" si="14"/>
        <v>18</v>
      </c>
      <c r="P111">
        <v>10</v>
      </c>
      <c r="Q111" s="231" t="s">
        <v>721</v>
      </c>
    </row>
    <row r="112" spans="1:17">
      <c r="B112" s="224" t="s">
        <v>697</v>
      </c>
      <c r="C112" s="203" t="s">
        <v>684</v>
      </c>
      <c r="D112" s="224" t="s">
        <v>291</v>
      </c>
      <c r="E112" s="203" t="s">
        <v>684</v>
      </c>
      <c r="F112" s="302" t="str">
        <f t="shared" si="10"/>
        <v>19/02/24</v>
      </c>
      <c r="G112" s="233">
        <f t="shared" si="11"/>
        <v>9</v>
      </c>
      <c r="H112" t="str">
        <f t="shared" si="12"/>
        <v>Cuarto Creciente</v>
      </c>
      <c r="J112">
        <f t="shared" si="17"/>
        <v>1</v>
      </c>
      <c r="K112" t="str">
        <f t="shared" si="13"/>
        <v>Lunes</v>
      </c>
      <c r="L112" s="203">
        <f t="shared" si="14"/>
        <v>19</v>
      </c>
      <c r="P112">
        <v>11</v>
      </c>
      <c r="Q112" s="231" t="s">
        <v>722</v>
      </c>
    </row>
    <row r="113" spans="2:17">
      <c r="B113" s="224" t="s">
        <v>698</v>
      </c>
      <c r="C113" s="203" t="s">
        <v>684</v>
      </c>
      <c r="D113" s="224" t="s">
        <v>291</v>
      </c>
      <c r="E113" s="203" t="s">
        <v>684</v>
      </c>
      <c r="F113" s="302" t="str">
        <f t="shared" si="10"/>
        <v>20/02/24</v>
      </c>
      <c r="G113" s="233">
        <f t="shared" si="11"/>
        <v>10</v>
      </c>
      <c r="H113" t="str">
        <f t="shared" si="12"/>
        <v>Cuarto Creciente</v>
      </c>
      <c r="J113">
        <f t="shared" si="17"/>
        <v>2</v>
      </c>
      <c r="K113" t="str">
        <f t="shared" si="13"/>
        <v>Martes</v>
      </c>
      <c r="L113" s="203">
        <f t="shared" si="14"/>
        <v>20</v>
      </c>
      <c r="P113">
        <v>12</v>
      </c>
      <c r="Q113" s="231" t="s">
        <v>723</v>
      </c>
    </row>
    <row r="114" spans="2:17">
      <c r="B114" s="224" t="s">
        <v>699</v>
      </c>
      <c r="C114" s="203" t="s">
        <v>684</v>
      </c>
      <c r="D114" s="224" t="s">
        <v>291</v>
      </c>
      <c r="E114" s="203" t="s">
        <v>684</v>
      </c>
      <c r="F114" s="302" t="str">
        <f t="shared" si="10"/>
        <v>21/02/24</v>
      </c>
      <c r="G114" s="233">
        <f t="shared" si="11"/>
        <v>11</v>
      </c>
      <c r="H114" t="str">
        <f t="shared" si="12"/>
        <v>Cuarto Creciente</v>
      </c>
      <c r="J114">
        <f t="shared" si="17"/>
        <v>3</v>
      </c>
      <c r="K114" t="str">
        <f t="shared" si="13"/>
        <v>Miércoles</v>
      </c>
      <c r="L114" s="203">
        <f t="shared" si="14"/>
        <v>21</v>
      </c>
      <c r="P114">
        <v>13</v>
      </c>
      <c r="Q114" s="231" t="s">
        <v>724</v>
      </c>
    </row>
    <row r="115" spans="2:17">
      <c r="B115" s="224" t="s">
        <v>700</v>
      </c>
      <c r="C115" s="203" t="s">
        <v>684</v>
      </c>
      <c r="D115" s="224" t="s">
        <v>291</v>
      </c>
      <c r="E115" s="203" t="s">
        <v>684</v>
      </c>
      <c r="F115" s="302" t="str">
        <f t="shared" si="10"/>
        <v>22/02/24</v>
      </c>
      <c r="G115" s="233">
        <f t="shared" si="11"/>
        <v>12</v>
      </c>
      <c r="H115" t="str">
        <f t="shared" si="12"/>
        <v>Cuarto Creciente</v>
      </c>
      <c r="J115">
        <f t="shared" si="17"/>
        <v>4</v>
      </c>
      <c r="K115" t="str">
        <f t="shared" si="13"/>
        <v>Jueves</v>
      </c>
      <c r="L115" s="203">
        <f t="shared" si="14"/>
        <v>22</v>
      </c>
      <c r="P115">
        <v>14</v>
      </c>
      <c r="Q115" s="231" t="s">
        <v>725</v>
      </c>
    </row>
    <row r="116" spans="2:17">
      <c r="B116" s="224" t="s">
        <v>702</v>
      </c>
      <c r="C116" s="203" t="s">
        <v>684</v>
      </c>
      <c r="D116" s="224" t="s">
        <v>291</v>
      </c>
      <c r="E116" s="203" t="s">
        <v>684</v>
      </c>
      <c r="F116" s="302" t="str">
        <f t="shared" si="10"/>
        <v>23/02/24</v>
      </c>
      <c r="G116" s="233">
        <f t="shared" si="11"/>
        <v>13</v>
      </c>
      <c r="H116" t="str">
        <f t="shared" si="12"/>
        <v>Cuarto Creciente</v>
      </c>
      <c r="J116">
        <f t="shared" si="17"/>
        <v>5</v>
      </c>
      <c r="K116" t="str">
        <f t="shared" si="13"/>
        <v>Viernes</v>
      </c>
      <c r="L116" s="203">
        <f t="shared" si="14"/>
        <v>23</v>
      </c>
      <c r="P116">
        <v>15</v>
      </c>
      <c r="Q116" s="231" t="s">
        <v>726</v>
      </c>
    </row>
    <row r="117" spans="2:17">
      <c r="B117" s="224" t="s">
        <v>703</v>
      </c>
      <c r="C117" s="203" t="s">
        <v>684</v>
      </c>
      <c r="D117" s="224" t="s">
        <v>291</v>
      </c>
      <c r="E117" s="203" t="s">
        <v>684</v>
      </c>
      <c r="F117" s="302" t="str">
        <f t="shared" si="10"/>
        <v>24/02/24</v>
      </c>
      <c r="G117" s="233">
        <f t="shared" si="11"/>
        <v>14</v>
      </c>
      <c r="H117" t="str">
        <f t="shared" si="12"/>
        <v>Luna Llena</v>
      </c>
      <c r="J117">
        <f t="shared" si="17"/>
        <v>6</v>
      </c>
      <c r="K117" t="str">
        <f t="shared" si="13"/>
        <v>Sábado</v>
      </c>
      <c r="L117" s="203">
        <f t="shared" si="14"/>
        <v>24</v>
      </c>
      <c r="P117">
        <v>16</v>
      </c>
      <c r="Q117" s="231" t="s">
        <v>727</v>
      </c>
    </row>
    <row r="118" spans="2:17">
      <c r="B118" s="224" t="s">
        <v>704</v>
      </c>
      <c r="C118" s="203" t="s">
        <v>684</v>
      </c>
      <c r="D118" s="224" t="s">
        <v>291</v>
      </c>
      <c r="E118" s="203" t="s">
        <v>684</v>
      </c>
      <c r="F118" s="302" t="str">
        <f t="shared" si="10"/>
        <v>25/02/24</v>
      </c>
      <c r="G118" s="233">
        <f t="shared" si="11"/>
        <v>15</v>
      </c>
      <c r="H118" t="str">
        <f t="shared" si="12"/>
        <v>Luna Llena</v>
      </c>
      <c r="J118">
        <f t="shared" si="17"/>
        <v>0</v>
      </c>
      <c r="K118" t="str">
        <f t="shared" si="13"/>
        <v>Domingo</v>
      </c>
      <c r="L118" s="203">
        <f t="shared" si="14"/>
        <v>25</v>
      </c>
      <c r="P118">
        <v>17</v>
      </c>
      <c r="Q118" s="231" t="s">
        <v>728</v>
      </c>
    </row>
    <row r="119" spans="2:17">
      <c r="B119" s="224" t="s">
        <v>705</v>
      </c>
      <c r="C119" s="203" t="s">
        <v>684</v>
      </c>
      <c r="D119" s="224" t="s">
        <v>291</v>
      </c>
      <c r="E119" s="203" t="s">
        <v>684</v>
      </c>
      <c r="F119" s="302" t="str">
        <f t="shared" si="10"/>
        <v>26/02/24</v>
      </c>
      <c r="G119" s="233">
        <f t="shared" si="11"/>
        <v>16</v>
      </c>
      <c r="H119" t="str">
        <f t="shared" si="12"/>
        <v>Luna Llena</v>
      </c>
      <c r="J119">
        <f t="shared" si="17"/>
        <v>1</v>
      </c>
      <c r="K119" t="str">
        <f t="shared" si="13"/>
        <v>Lunes</v>
      </c>
      <c r="L119" s="203">
        <f t="shared" si="14"/>
        <v>26</v>
      </c>
      <c r="P119">
        <v>18</v>
      </c>
      <c r="Q119" s="231" t="s">
        <v>729</v>
      </c>
    </row>
    <row r="120" spans="2:17">
      <c r="B120" s="224" t="s">
        <v>706</v>
      </c>
      <c r="C120" s="203" t="s">
        <v>684</v>
      </c>
      <c r="D120" s="224" t="s">
        <v>291</v>
      </c>
      <c r="E120" s="203" t="s">
        <v>684</v>
      </c>
      <c r="F120" s="302" t="str">
        <f t="shared" si="10"/>
        <v>27/02/24</v>
      </c>
      <c r="G120" s="233">
        <f t="shared" si="11"/>
        <v>17</v>
      </c>
      <c r="H120" t="str">
        <f t="shared" si="12"/>
        <v>Luna Llena</v>
      </c>
      <c r="J120">
        <f t="shared" si="17"/>
        <v>2</v>
      </c>
      <c r="K120" t="str">
        <f t="shared" si="13"/>
        <v>Martes</v>
      </c>
      <c r="L120" s="203">
        <f t="shared" si="14"/>
        <v>27</v>
      </c>
      <c r="P120">
        <v>19</v>
      </c>
      <c r="Q120" s="231" t="s">
        <v>720</v>
      </c>
    </row>
    <row r="121" spans="2:17">
      <c r="B121" s="224" t="s">
        <v>708</v>
      </c>
      <c r="C121" s="203" t="s">
        <v>684</v>
      </c>
      <c r="D121" s="224" t="s">
        <v>291</v>
      </c>
      <c r="E121" s="203" t="s">
        <v>684</v>
      </c>
      <c r="F121" s="302" t="str">
        <f t="shared" si="10"/>
        <v>28/02/24</v>
      </c>
      <c r="G121" s="233">
        <f t="shared" si="11"/>
        <v>18</v>
      </c>
      <c r="H121" t="str">
        <f t="shared" si="12"/>
        <v>Luna Llena</v>
      </c>
      <c r="J121">
        <f t="shared" si="17"/>
        <v>3</v>
      </c>
      <c r="K121" t="str">
        <f t="shared" si="13"/>
        <v>Miércoles</v>
      </c>
      <c r="L121" s="203">
        <f t="shared" si="14"/>
        <v>28</v>
      </c>
      <c r="M121">
        <f>calendario!$AH$11</f>
        <v>1</v>
      </c>
    </row>
    <row r="122" spans="2:17">
      <c r="B122" s="224" t="s">
        <v>710</v>
      </c>
      <c r="C122" s="203" t="s">
        <v>684</v>
      </c>
      <c r="D122" s="224" t="s">
        <v>291</v>
      </c>
      <c r="E122" s="203" t="s">
        <v>684</v>
      </c>
      <c r="F122" s="302" t="str">
        <f>IF(J19&lt;&gt;0,CONCATENATE(B122,C122,D122,E122,$E$37),F121)</f>
        <v>29/02/24</v>
      </c>
      <c r="G122" s="233">
        <f t="shared" si="11"/>
        <v>19</v>
      </c>
      <c r="H122" t="str">
        <f t="shared" si="12"/>
        <v>Luna Llena</v>
      </c>
      <c r="J122">
        <f>IF(AND(J121&lt;6,M121=1),J121+1,J121)</f>
        <v>4</v>
      </c>
      <c r="K122" t="str">
        <f t="shared" si="13"/>
        <v>Jueves</v>
      </c>
      <c r="L122" s="203">
        <f t="shared" si="14"/>
        <v>29</v>
      </c>
      <c r="M122" t="str">
        <f>IF(M121=1,"BISIESTO"," ")</f>
        <v>BISIESTO</v>
      </c>
    </row>
    <row r="123" spans="2:17">
      <c r="B123" s="224" t="s">
        <v>289</v>
      </c>
      <c r="C123" s="203" t="s">
        <v>684</v>
      </c>
      <c r="D123" s="224" t="s">
        <v>293</v>
      </c>
      <c r="E123" s="203" t="s">
        <v>684</v>
      </c>
      <c r="F123" s="302" t="str">
        <f t="shared" ref="F123:F186" si="18">CONCATENATE(B123,C123,D123,E123,$E$37)</f>
        <v>01/03/24</v>
      </c>
      <c r="G123" s="233">
        <f t="shared" si="11"/>
        <v>20</v>
      </c>
      <c r="H123" t="str">
        <f t="shared" si="12"/>
        <v>Luna Llena</v>
      </c>
      <c r="J123">
        <f>calendario!$AB$9</f>
        <v>5</v>
      </c>
      <c r="K123" t="str">
        <f t="shared" si="13"/>
        <v>Viernes</v>
      </c>
      <c r="L123" s="203">
        <f t="shared" si="14"/>
        <v>1</v>
      </c>
    </row>
    <row r="124" spans="2:17">
      <c r="B124" s="224" t="s">
        <v>291</v>
      </c>
      <c r="C124" s="203" t="s">
        <v>684</v>
      </c>
      <c r="D124" s="224" t="s">
        <v>293</v>
      </c>
      <c r="E124" s="203" t="s">
        <v>684</v>
      </c>
      <c r="F124" s="302" t="str">
        <f t="shared" si="18"/>
        <v>02/03/24</v>
      </c>
      <c r="G124" s="233">
        <f t="shared" si="11"/>
        <v>21</v>
      </c>
      <c r="H124" t="str">
        <f t="shared" si="12"/>
        <v>Cuarto Menguante</v>
      </c>
      <c r="J124">
        <f>IF(J123&lt;6,J123+1,0)</f>
        <v>6</v>
      </c>
      <c r="K124" t="str">
        <f t="shared" si="13"/>
        <v>Sábado</v>
      </c>
      <c r="L124" s="203">
        <f t="shared" si="14"/>
        <v>2</v>
      </c>
    </row>
    <row r="125" spans="2:17">
      <c r="B125" s="224" t="s">
        <v>293</v>
      </c>
      <c r="C125" s="203" t="s">
        <v>684</v>
      </c>
      <c r="D125" s="224" t="s">
        <v>293</v>
      </c>
      <c r="E125" s="203" t="s">
        <v>684</v>
      </c>
      <c r="F125" s="302" t="str">
        <f t="shared" si="18"/>
        <v>03/03/24</v>
      </c>
      <c r="G125" s="233">
        <f t="shared" si="11"/>
        <v>22</v>
      </c>
      <c r="H125" t="str">
        <f t="shared" si="12"/>
        <v>Cuarto Menguante</v>
      </c>
      <c r="J125">
        <f t="shared" ref="J125:J188" si="19">IF(J124&lt;6,J124+1,0)</f>
        <v>0</v>
      </c>
      <c r="K125" t="str">
        <f t="shared" si="13"/>
        <v>Domingo</v>
      </c>
      <c r="L125" s="203">
        <f t="shared" si="14"/>
        <v>3</v>
      </c>
    </row>
    <row r="126" spans="2:17">
      <c r="B126" s="224" t="s">
        <v>295</v>
      </c>
      <c r="C126" s="203" t="s">
        <v>684</v>
      </c>
      <c r="D126" s="224" t="s">
        <v>293</v>
      </c>
      <c r="E126" s="203" t="s">
        <v>684</v>
      </c>
      <c r="F126" s="302" t="str">
        <f t="shared" si="18"/>
        <v>04/03/24</v>
      </c>
      <c r="G126" s="233">
        <f t="shared" si="11"/>
        <v>23</v>
      </c>
      <c r="H126" t="str">
        <f t="shared" si="12"/>
        <v>Cuarto Menguante</v>
      </c>
      <c r="J126">
        <f t="shared" si="19"/>
        <v>1</v>
      </c>
      <c r="K126" t="str">
        <f t="shared" si="13"/>
        <v>Lunes</v>
      </c>
      <c r="L126" s="203">
        <f t="shared" si="14"/>
        <v>4</v>
      </c>
    </row>
    <row r="127" spans="2:17">
      <c r="B127" s="224" t="s">
        <v>297</v>
      </c>
      <c r="C127" s="203" t="s">
        <v>684</v>
      </c>
      <c r="D127" s="224" t="s">
        <v>293</v>
      </c>
      <c r="E127" s="203" t="s">
        <v>684</v>
      </c>
      <c r="F127" s="302" t="str">
        <f t="shared" si="18"/>
        <v>05/03/24</v>
      </c>
      <c r="G127" s="233">
        <f t="shared" si="11"/>
        <v>24</v>
      </c>
      <c r="H127" t="str">
        <f t="shared" ref="H127:H190" si="20">VLOOKUP(G127,$J$32:$K$61,2)</f>
        <v>Cuarto Menguante</v>
      </c>
      <c r="J127">
        <f t="shared" si="19"/>
        <v>2</v>
      </c>
      <c r="K127" t="str">
        <f t="shared" si="13"/>
        <v>Martes</v>
      </c>
      <c r="L127" s="203">
        <f t="shared" si="14"/>
        <v>5</v>
      </c>
    </row>
    <row r="128" spans="2:17">
      <c r="B128" s="224" t="s">
        <v>299</v>
      </c>
      <c r="C128" s="203" t="s">
        <v>684</v>
      </c>
      <c r="D128" s="224" t="s">
        <v>293</v>
      </c>
      <c r="E128" s="203" t="s">
        <v>684</v>
      </c>
      <c r="F128" s="302" t="str">
        <f t="shared" si="18"/>
        <v>06/03/24</v>
      </c>
      <c r="G128" s="233">
        <f t="shared" ref="G128:G191" si="21">MOD($A$69+B128+VLOOKUP(MONTH(F128),$B$35:$D$46,3),30)</f>
        <v>25</v>
      </c>
      <c r="H128" t="str">
        <f t="shared" si="20"/>
        <v>Cuarto Menguante</v>
      </c>
      <c r="J128">
        <f t="shared" si="19"/>
        <v>3</v>
      </c>
      <c r="K128" t="str">
        <f t="shared" ref="K128:K191" si="22">VLOOKUP(J128,$H$45:$I$52,2)</f>
        <v>Miércoles</v>
      </c>
      <c r="L128" s="203">
        <f t="shared" ref="L128:L191" si="23">VALUE(LEFT(F128,2))</f>
        <v>6</v>
      </c>
    </row>
    <row r="129" spans="2:12">
      <c r="B129" s="224" t="s">
        <v>301</v>
      </c>
      <c r="C129" s="203" t="s">
        <v>684</v>
      </c>
      <c r="D129" s="224" t="s">
        <v>293</v>
      </c>
      <c r="E129" s="203" t="s">
        <v>684</v>
      </c>
      <c r="F129" s="302" t="str">
        <f t="shared" si="18"/>
        <v>07/03/24</v>
      </c>
      <c r="G129" s="233">
        <f t="shared" si="21"/>
        <v>26</v>
      </c>
      <c r="H129" t="str">
        <f t="shared" si="20"/>
        <v>Cuarto Menguante</v>
      </c>
      <c r="J129">
        <f t="shared" si="19"/>
        <v>4</v>
      </c>
      <c r="K129" t="str">
        <f t="shared" si="22"/>
        <v>Jueves</v>
      </c>
      <c r="L129" s="203">
        <f t="shared" si="23"/>
        <v>7</v>
      </c>
    </row>
    <row r="130" spans="2:12">
      <c r="B130" s="224" t="s">
        <v>303</v>
      </c>
      <c r="C130" s="203" t="s">
        <v>684</v>
      </c>
      <c r="D130" s="224" t="s">
        <v>293</v>
      </c>
      <c r="E130" s="203" t="s">
        <v>684</v>
      </c>
      <c r="F130" s="302" t="str">
        <f t="shared" si="18"/>
        <v>08/03/24</v>
      </c>
      <c r="G130" s="233">
        <f t="shared" si="21"/>
        <v>27</v>
      </c>
      <c r="H130" t="str">
        <f t="shared" si="20"/>
        <v>Cuarto Menguante</v>
      </c>
      <c r="J130">
        <f t="shared" si="19"/>
        <v>5</v>
      </c>
      <c r="K130" t="str">
        <f t="shared" si="22"/>
        <v>Viernes</v>
      </c>
      <c r="L130" s="203">
        <f t="shared" si="23"/>
        <v>8</v>
      </c>
    </row>
    <row r="131" spans="2:12">
      <c r="B131" s="224" t="s">
        <v>305</v>
      </c>
      <c r="C131" s="203" t="s">
        <v>684</v>
      </c>
      <c r="D131" s="224" t="s">
        <v>293</v>
      </c>
      <c r="E131" s="203" t="s">
        <v>684</v>
      </c>
      <c r="F131" s="302" t="str">
        <f t="shared" si="18"/>
        <v>09/03/24</v>
      </c>
      <c r="G131" s="233">
        <f t="shared" si="21"/>
        <v>28</v>
      </c>
      <c r="H131" t="str">
        <f t="shared" si="20"/>
        <v>Cuarto Menguante</v>
      </c>
      <c r="J131">
        <f t="shared" si="19"/>
        <v>6</v>
      </c>
      <c r="K131" t="str">
        <f t="shared" si="22"/>
        <v>Sábado</v>
      </c>
      <c r="L131" s="203">
        <f t="shared" si="23"/>
        <v>9</v>
      </c>
    </row>
    <row r="132" spans="2:12">
      <c r="B132" s="224" t="s">
        <v>307</v>
      </c>
      <c r="C132" s="203" t="s">
        <v>684</v>
      </c>
      <c r="D132" s="224" t="s">
        <v>293</v>
      </c>
      <c r="E132" s="203" t="s">
        <v>684</v>
      </c>
      <c r="F132" s="302" t="str">
        <f t="shared" si="18"/>
        <v>10/03/24</v>
      </c>
      <c r="G132" s="233">
        <f t="shared" si="21"/>
        <v>29</v>
      </c>
      <c r="H132" t="str">
        <f t="shared" si="20"/>
        <v>Cuarto Menguante</v>
      </c>
      <c r="J132">
        <f t="shared" si="19"/>
        <v>0</v>
      </c>
      <c r="K132" t="str">
        <f t="shared" si="22"/>
        <v>Domingo</v>
      </c>
      <c r="L132" s="203">
        <f t="shared" si="23"/>
        <v>10</v>
      </c>
    </row>
    <row r="133" spans="2:12">
      <c r="B133" s="224" t="s">
        <v>309</v>
      </c>
      <c r="C133" s="203" t="s">
        <v>684</v>
      </c>
      <c r="D133" s="224" t="s">
        <v>293</v>
      </c>
      <c r="E133" s="203" t="s">
        <v>684</v>
      </c>
      <c r="F133" s="302" t="str">
        <f t="shared" si="18"/>
        <v>11/03/24</v>
      </c>
      <c r="G133" s="233">
        <f t="shared" si="21"/>
        <v>0</v>
      </c>
      <c r="H133" t="str">
        <f t="shared" si="20"/>
        <v>Luna Nueva</v>
      </c>
      <c r="J133">
        <f t="shared" si="19"/>
        <v>1</v>
      </c>
      <c r="K133" t="str">
        <f t="shared" si="22"/>
        <v>Lunes</v>
      </c>
      <c r="L133" s="203">
        <f t="shared" si="23"/>
        <v>11</v>
      </c>
    </row>
    <row r="134" spans="2:12">
      <c r="B134" s="224" t="s">
        <v>311</v>
      </c>
      <c r="C134" s="203" t="s">
        <v>684</v>
      </c>
      <c r="D134" s="224" t="s">
        <v>293</v>
      </c>
      <c r="E134" s="203" t="s">
        <v>684</v>
      </c>
      <c r="F134" s="302" t="str">
        <f t="shared" si="18"/>
        <v>12/03/24</v>
      </c>
      <c r="G134" s="233">
        <f t="shared" si="21"/>
        <v>1</v>
      </c>
      <c r="H134" t="str">
        <f t="shared" si="20"/>
        <v>Luna Nueva</v>
      </c>
      <c r="J134">
        <f t="shared" si="19"/>
        <v>2</v>
      </c>
      <c r="K134" t="str">
        <f t="shared" si="22"/>
        <v>Martes</v>
      </c>
      <c r="L134" s="203">
        <f t="shared" si="23"/>
        <v>12</v>
      </c>
    </row>
    <row r="135" spans="2:12">
      <c r="B135" s="224" t="s">
        <v>688</v>
      </c>
      <c r="C135" s="203" t="s">
        <v>684</v>
      </c>
      <c r="D135" s="224" t="s">
        <v>293</v>
      </c>
      <c r="E135" s="203" t="s">
        <v>684</v>
      </c>
      <c r="F135" s="302" t="str">
        <f t="shared" si="18"/>
        <v>13/03/24</v>
      </c>
      <c r="G135" s="233">
        <f t="shared" si="21"/>
        <v>2</v>
      </c>
      <c r="H135" t="str">
        <f t="shared" si="20"/>
        <v>Luna Nueva</v>
      </c>
      <c r="J135">
        <f t="shared" si="19"/>
        <v>3</v>
      </c>
      <c r="K135" t="str">
        <f t="shared" si="22"/>
        <v>Miércoles</v>
      </c>
      <c r="L135" s="203">
        <f t="shared" si="23"/>
        <v>13</v>
      </c>
    </row>
    <row r="136" spans="2:12">
      <c r="B136" s="224" t="s">
        <v>689</v>
      </c>
      <c r="C136" s="203" t="s">
        <v>684</v>
      </c>
      <c r="D136" s="224" t="s">
        <v>293</v>
      </c>
      <c r="E136" s="203" t="s">
        <v>684</v>
      </c>
      <c r="F136" s="302" t="str">
        <f t="shared" si="18"/>
        <v>14/03/24</v>
      </c>
      <c r="G136" s="233">
        <f t="shared" si="21"/>
        <v>3</v>
      </c>
      <c r="H136" t="str">
        <f t="shared" si="20"/>
        <v>Luna Nueva</v>
      </c>
      <c r="J136">
        <f t="shared" si="19"/>
        <v>4</v>
      </c>
      <c r="K136" t="str">
        <f t="shared" si="22"/>
        <v>Jueves</v>
      </c>
      <c r="L136" s="203">
        <f t="shared" si="23"/>
        <v>14</v>
      </c>
    </row>
    <row r="137" spans="2:12">
      <c r="B137" s="224" t="s">
        <v>690</v>
      </c>
      <c r="C137" s="203" t="s">
        <v>684</v>
      </c>
      <c r="D137" s="224" t="s">
        <v>293</v>
      </c>
      <c r="E137" s="203" t="s">
        <v>684</v>
      </c>
      <c r="F137" s="302" t="str">
        <f t="shared" si="18"/>
        <v>15/03/24</v>
      </c>
      <c r="G137" s="233">
        <f t="shared" si="21"/>
        <v>4</v>
      </c>
      <c r="H137" t="str">
        <f t="shared" si="20"/>
        <v>Luna Nueva</v>
      </c>
      <c r="J137">
        <f t="shared" si="19"/>
        <v>5</v>
      </c>
      <c r="K137" t="str">
        <f t="shared" si="22"/>
        <v>Viernes</v>
      </c>
      <c r="L137" s="203">
        <f t="shared" si="23"/>
        <v>15</v>
      </c>
    </row>
    <row r="138" spans="2:12">
      <c r="B138" s="224" t="s">
        <v>692</v>
      </c>
      <c r="C138" s="203" t="s">
        <v>684</v>
      </c>
      <c r="D138" s="224" t="s">
        <v>293</v>
      </c>
      <c r="E138" s="203" t="s">
        <v>684</v>
      </c>
      <c r="F138" s="302" t="str">
        <f t="shared" si="18"/>
        <v>16/03/24</v>
      </c>
      <c r="G138" s="233">
        <f t="shared" si="21"/>
        <v>5</v>
      </c>
      <c r="H138" t="str">
        <f t="shared" si="20"/>
        <v>Luna Nueva</v>
      </c>
      <c r="J138">
        <f t="shared" si="19"/>
        <v>6</v>
      </c>
      <c r="K138" t="str">
        <f t="shared" si="22"/>
        <v>Sábado</v>
      </c>
      <c r="L138" s="203">
        <f t="shared" si="23"/>
        <v>16</v>
      </c>
    </row>
    <row r="139" spans="2:12">
      <c r="B139" s="224" t="s">
        <v>693</v>
      </c>
      <c r="C139" s="203" t="s">
        <v>684</v>
      </c>
      <c r="D139" s="224" t="s">
        <v>293</v>
      </c>
      <c r="E139" s="203" t="s">
        <v>684</v>
      </c>
      <c r="F139" s="302" t="str">
        <f t="shared" si="18"/>
        <v>17/03/24</v>
      </c>
      <c r="G139" s="233">
        <f t="shared" si="21"/>
        <v>6</v>
      </c>
      <c r="H139" t="str">
        <f t="shared" si="20"/>
        <v>Cuarto Creciente</v>
      </c>
      <c r="J139">
        <f t="shared" si="19"/>
        <v>0</v>
      </c>
      <c r="K139" t="str">
        <f t="shared" si="22"/>
        <v>Domingo</v>
      </c>
      <c r="L139" s="203">
        <f t="shared" si="23"/>
        <v>17</v>
      </c>
    </row>
    <row r="140" spans="2:12">
      <c r="B140" s="224" t="s">
        <v>695</v>
      </c>
      <c r="C140" s="203" t="s">
        <v>684</v>
      </c>
      <c r="D140" s="224" t="s">
        <v>293</v>
      </c>
      <c r="E140" s="203" t="s">
        <v>684</v>
      </c>
      <c r="F140" s="302" t="str">
        <f t="shared" si="18"/>
        <v>18/03/24</v>
      </c>
      <c r="G140" s="233">
        <f t="shared" si="21"/>
        <v>7</v>
      </c>
      <c r="H140" t="str">
        <f t="shared" si="20"/>
        <v>Cuarto Creciente</v>
      </c>
      <c r="J140">
        <f t="shared" si="19"/>
        <v>1</v>
      </c>
      <c r="K140" t="str">
        <f t="shared" si="22"/>
        <v>Lunes</v>
      </c>
      <c r="L140" s="203">
        <f t="shared" si="23"/>
        <v>18</v>
      </c>
    </row>
    <row r="141" spans="2:12">
      <c r="B141" s="224" t="s">
        <v>697</v>
      </c>
      <c r="C141" s="203" t="s">
        <v>684</v>
      </c>
      <c r="D141" s="224" t="s">
        <v>293</v>
      </c>
      <c r="E141" s="203" t="s">
        <v>684</v>
      </c>
      <c r="F141" s="302" t="str">
        <f t="shared" si="18"/>
        <v>19/03/24</v>
      </c>
      <c r="G141" s="233">
        <f t="shared" si="21"/>
        <v>8</v>
      </c>
      <c r="H141" t="str">
        <f t="shared" si="20"/>
        <v>Cuarto Creciente</v>
      </c>
      <c r="J141">
        <f t="shared" si="19"/>
        <v>2</v>
      </c>
      <c r="K141" t="str">
        <f t="shared" si="22"/>
        <v>Martes</v>
      </c>
      <c r="L141" s="203">
        <f t="shared" si="23"/>
        <v>19</v>
      </c>
    </row>
    <row r="142" spans="2:12">
      <c r="B142" s="224" t="s">
        <v>698</v>
      </c>
      <c r="C142" s="203" t="s">
        <v>684</v>
      </c>
      <c r="D142" s="224" t="s">
        <v>293</v>
      </c>
      <c r="E142" s="203" t="s">
        <v>684</v>
      </c>
      <c r="F142" s="302" t="str">
        <f t="shared" si="18"/>
        <v>20/03/24</v>
      </c>
      <c r="G142" s="233">
        <f t="shared" si="21"/>
        <v>9</v>
      </c>
      <c r="H142" t="str">
        <f t="shared" si="20"/>
        <v>Cuarto Creciente</v>
      </c>
      <c r="J142">
        <f t="shared" si="19"/>
        <v>3</v>
      </c>
      <c r="K142" t="str">
        <f t="shared" si="22"/>
        <v>Miércoles</v>
      </c>
      <c r="L142" s="203">
        <f t="shared" si="23"/>
        <v>20</v>
      </c>
    </row>
    <row r="143" spans="2:12">
      <c r="B143" s="224" t="s">
        <v>699</v>
      </c>
      <c r="C143" s="203" t="s">
        <v>684</v>
      </c>
      <c r="D143" s="224" t="s">
        <v>293</v>
      </c>
      <c r="E143" s="203" t="s">
        <v>684</v>
      </c>
      <c r="F143" s="302" t="str">
        <f t="shared" si="18"/>
        <v>21/03/24</v>
      </c>
      <c r="G143" s="233">
        <f t="shared" si="21"/>
        <v>10</v>
      </c>
      <c r="H143" t="str">
        <f t="shared" si="20"/>
        <v>Cuarto Creciente</v>
      </c>
      <c r="J143">
        <f t="shared" si="19"/>
        <v>4</v>
      </c>
      <c r="K143" t="str">
        <f t="shared" si="22"/>
        <v>Jueves</v>
      </c>
      <c r="L143" s="203">
        <f t="shared" si="23"/>
        <v>21</v>
      </c>
    </row>
    <row r="144" spans="2:12">
      <c r="B144" s="224" t="s">
        <v>700</v>
      </c>
      <c r="C144" s="203" t="s">
        <v>684</v>
      </c>
      <c r="D144" s="224" t="s">
        <v>293</v>
      </c>
      <c r="E144" s="203" t="s">
        <v>684</v>
      </c>
      <c r="F144" s="302" t="str">
        <f t="shared" si="18"/>
        <v>22/03/24</v>
      </c>
      <c r="G144" s="233">
        <f t="shared" si="21"/>
        <v>11</v>
      </c>
      <c r="H144" t="str">
        <f t="shared" si="20"/>
        <v>Cuarto Creciente</v>
      </c>
      <c r="J144">
        <f t="shared" si="19"/>
        <v>5</v>
      </c>
      <c r="K144" t="str">
        <f t="shared" si="22"/>
        <v>Viernes</v>
      </c>
      <c r="L144" s="203">
        <f t="shared" si="23"/>
        <v>22</v>
      </c>
    </row>
    <row r="145" spans="2:12">
      <c r="B145" s="224" t="s">
        <v>702</v>
      </c>
      <c r="C145" s="203" t="s">
        <v>684</v>
      </c>
      <c r="D145" s="224" t="s">
        <v>293</v>
      </c>
      <c r="E145" s="203" t="s">
        <v>684</v>
      </c>
      <c r="F145" s="302" t="str">
        <f t="shared" si="18"/>
        <v>23/03/24</v>
      </c>
      <c r="G145" s="233">
        <f t="shared" si="21"/>
        <v>12</v>
      </c>
      <c r="H145" t="str">
        <f t="shared" si="20"/>
        <v>Cuarto Creciente</v>
      </c>
      <c r="J145">
        <f t="shared" si="19"/>
        <v>6</v>
      </c>
      <c r="K145" t="str">
        <f t="shared" si="22"/>
        <v>Sábado</v>
      </c>
      <c r="L145" s="203">
        <f t="shared" si="23"/>
        <v>23</v>
      </c>
    </row>
    <row r="146" spans="2:12">
      <c r="B146" s="224" t="s">
        <v>703</v>
      </c>
      <c r="C146" s="203" t="s">
        <v>684</v>
      </c>
      <c r="D146" s="224" t="s">
        <v>293</v>
      </c>
      <c r="E146" s="203" t="s">
        <v>684</v>
      </c>
      <c r="F146" s="302" t="str">
        <f t="shared" si="18"/>
        <v>24/03/24</v>
      </c>
      <c r="G146" s="233">
        <f t="shared" si="21"/>
        <v>13</v>
      </c>
      <c r="H146" t="str">
        <f t="shared" si="20"/>
        <v>Cuarto Creciente</v>
      </c>
      <c r="J146">
        <f t="shared" si="19"/>
        <v>0</v>
      </c>
      <c r="K146" t="str">
        <f t="shared" si="22"/>
        <v>Domingo</v>
      </c>
      <c r="L146" s="203">
        <f t="shared" si="23"/>
        <v>24</v>
      </c>
    </row>
    <row r="147" spans="2:12">
      <c r="B147" s="224" t="s">
        <v>704</v>
      </c>
      <c r="C147" s="203" t="s">
        <v>684</v>
      </c>
      <c r="D147" s="224" t="s">
        <v>293</v>
      </c>
      <c r="E147" s="203" t="s">
        <v>684</v>
      </c>
      <c r="F147" s="302" t="str">
        <f t="shared" si="18"/>
        <v>25/03/24</v>
      </c>
      <c r="G147" s="233">
        <f t="shared" si="21"/>
        <v>14</v>
      </c>
      <c r="H147" t="str">
        <f t="shared" si="20"/>
        <v>Luna Llena</v>
      </c>
      <c r="J147">
        <f t="shared" si="19"/>
        <v>1</v>
      </c>
      <c r="K147" t="str">
        <f t="shared" si="22"/>
        <v>Lunes</v>
      </c>
      <c r="L147" s="203">
        <f t="shared" si="23"/>
        <v>25</v>
      </c>
    </row>
    <row r="148" spans="2:12">
      <c r="B148" s="224" t="s">
        <v>705</v>
      </c>
      <c r="C148" s="203" t="s">
        <v>684</v>
      </c>
      <c r="D148" s="224" t="s">
        <v>293</v>
      </c>
      <c r="E148" s="203" t="s">
        <v>684</v>
      </c>
      <c r="F148" s="302" t="str">
        <f t="shared" si="18"/>
        <v>26/03/24</v>
      </c>
      <c r="G148" s="233">
        <f t="shared" si="21"/>
        <v>15</v>
      </c>
      <c r="H148" t="str">
        <f t="shared" si="20"/>
        <v>Luna Llena</v>
      </c>
      <c r="J148">
        <f t="shared" si="19"/>
        <v>2</v>
      </c>
      <c r="K148" t="str">
        <f t="shared" si="22"/>
        <v>Martes</v>
      </c>
      <c r="L148" s="203">
        <f t="shared" si="23"/>
        <v>26</v>
      </c>
    </row>
    <row r="149" spans="2:12">
      <c r="B149" s="224" t="s">
        <v>706</v>
      </c>
      <c r="C149" s="203" t="s">
        <v>684</v>
      </c>
      <c r="D149" s="224" t="s">
        <v>293</v>
      </c>
      <c r="E149" s="203" t="s">
        <v>684</v>
      </c>
      <c r="F149" s="302" t="str">
        <f t="shared" si="18"/>
        <v>27/03/24</v>
      </c>
      <c r="G149" s="233">
        <f t="shared" si="21"/>
        <v>16</v>
      </c>
      <c r="H149" t="str">
        <f t="shared" si="20"/>
        <v>Luna Llena</v>
      </c>
      <c r="J149">
        <f t="shared" si="19"/>
        <v>3</v>
      </c>
      <c r="K149" t="str">
        <f t="shared" si="22"/>
        <v>Miércoles</v>
      </c>
      <c r="L149" s="203">
        <f t="shared" si="23"/>
        <v>27</v>
      </c>
    </row>
    <row r="150" spans="2:12">
      <c r="B150" s="224" t="s">
        <v>708</v>
      </c>
      <c r="C150" s="203" t="s">
        <v>684</v>
      </c>
      <c r="D150" s="224" t="s">
        <v>293</v>
      </c>
      <c r="E150" s="203" t="s">
        <v>684</v>
      </c>
      <c r="F150" s="302" t="str">
        <f t="shared" si="18"/>
        <v>28/03/24</v>
      </c>
      <c r="G150" s="233">
        <f t="shared" si="21"/>
        <v>17</v>
      </c>
      <c r="H150" t="str">
        <f t="shared" si="20"/>
        <v>Luna Llena</v>
      </c>
      <c r="J150">
        <f t="shared" si="19"/>
        <v>4</v>
      </c>
      <c r="K150" t="str">
        <f t="shared" si="22"/>
        <v>Jueves</v>
      </c>
      <c r="L150" s="203">
        <f t="shared" si="23"/>
        <v>28</v>
      </c>
    </row>
    <row r="151" spans="2:12">
      <c r="B151" s="224">
        <v>29</v>
      </c>
      <c r="C151" s="203" t="s">
        <v>684</v>
      </c>
      <c r="D151" s="224" t="s">
        <v>293</v>
      </c>
      <c r="E151" s="203" t="s">
        <v>684</v>
      </c>
      <c r="F151" s="302" t="str">
        <f t="shared" si="18"/>
        <v>29/03/24</v>
      </c>
      <c r="G151" s="233">
        <f t="shared" si="21"/>
        <v>18</v>
      </c>
      <c r="H151" t="str">
        <f t="shared" si="20"/>
        <v>Luna Llena</v>
      </c>
      <c r="J151">
        <f t="shared" si="19"/>
        <v>5</v>
      </c>
      <c r="K151" t="str">
        <f t="shared" si="22"/>
        <v>Viernes</v>
      </c>
      <c r="L151" s="203">
        <f t="shared" si="23"/>
        <v>29</v>
      </c>
    </row>
    <row r="152" spans="2:12">
      <c r="B152" s="224">
        <v>30</v>
      </c>
      <c r="C152" s="203" t="s">
        <v>684</v>
      </c>
      <c r="D152" s="224" t="s">
        <v>293</v>
      </c>
      <c r="E152" s="203" t="s">
        <v>684</v>
      </c>
      <c r="F152" s="302" t="str">
        <f t="shared" si="18"/>
        <v>30/03/24</v>
      </c>
      <c r="G152" s="233">
        <f t="shared" si="21"/>
        <v>19</v>
      </c>
      <c r="H152" t="str">
        <f t="shared" si="20"/>
        <v>Luna Llena</v>
      </c>
      <c r="J152">
        <f t="shared" si="19"/>
        <v>6</v>
      </c>
      <c r="K152" t="str">
        <f t="shared" si="22"/>
        <v>Sábado</v>
      </c>
      <c r="L152" s="203">
        <f t="shared" si="23"/>
        <v>30</v>
      </c>
    </row>
    <row r="153" spans="2:12">
      <c r="B153" s="224">
        <v>31</v>
      </c>
      <c r="C153" s="203" t="s">
        <v>684</v>
      </c>
      <c r="D153" s="224" t="s">
        <v>293</v>
      </c>
      <c r="E153" s="203" t="s">
        <v>684</v>
      </c>
      <c r="F153" s="302" t="str">
        <f t="shared" si="18"/>
        <v>31/03/24</v>
      </c>
      <c r="G153" s="233">
        <f t="shared" si="21"/>
        <v>20</v>
      </c>
      <c r="H153" t="str">
        <f t="shared" si="20"/>
        <v>Luna Llena</v>
      </c>
      <c r="J153">
        <f t="shared" si="19"/>
        <v>0</v>
      </c>
      <c r="K153" t="str">
        <f t="shared" si="22"/>
        <v>Domingo</v>
      </c>
      <c r="L153" s="203">
        <f t="shared" si="23"/>
        <v>31</v>
      </c>
    </row>
    <row r="154" spans="2:12">
      <c r="B154" s="224" t="s">
        <v>289</v>
      </c>
      <c r="C154" s="203" t="s">
        <v>684</v>
      </c>
      <c r="D154" s="224" t="s">
        <v>295</v>
      </c>
      <c r="E154" s="203" t="s">
        <v>684</v>
      </c>
      <c r="F154" s="302" t="str">
        <f t="shared" si="18"/>
        <v>01/04/24</v>
      </c>
      <c r="G154" s="233">
        <f t="shared" si="21"/>
        <v>21</v>
      </c>
      <c r="H154" t="str">
        <f t="shared" si="20"/>
        <v>Cuarto Menguante</v>
      </c>
      <c r="J154">
        <f t="shared" si="19"/>
        <v>1</v>
      </c>
      <c r="K154" t="str">
        <f t="shared" si="22"/>
        <v>Lunes</v>
      </c>
      <c r="L154" s="203">
        <f t="shared" si="23"/>
        <v>1</v>
      </c>
    </row>
    <row r="155" spans="2:12">
      <c r="B155" s="224" t="s">
        <v>291</v>
      </c>
      <c r="C155" s="203" t="s">
        <v>684</v>
      </c>
      <c r="D155" s="224" t="s">
        <v>295</v>
      </c>
      <c r="E155" s="203" t="s">
        <v>684</v>
      </c>
      <c r="F155" s="302" t="str">
        <f t="shared" si="18"/>
        <v>02/04/24</v>
      </c>
      <c r="G155" s="233">
        <f t="shared" si="21"/>
        <v>22</v>
      </c>
      <c r="H155" t="str">
        <f t="shared" si="20"/>
        <v>Cuarto Menguante</v>
      </c>
      <c r="J155">
        <f t="shared" si="19"/>
        <v>2</v>
      </c>
      <c r="K155" t="str">
        <f t="shared" si="22"/>
        <v>Martes</v>
      </c>
      <c r="L155" s="203">
        <f t="shared" si="23"/>
        <v>2</v>
      </c>
    </row>
    <row r="156" spans="2:12">
      <c r="B156" s="224" t="s">
        <v>293</v>
      </c>
      <c r="C156" s="203" t="s">
        <v>684</v>
      </c>
      <c r="D156" s="224" t="s">
        <v>295</v>
      </c>
      <c r="E156" s="203" t="s">
        <v>684</v>
      </c>
      <c r="F156" s="302" t="str">
        <f t="shared" si="18"/>
        <v>03/04/24</v>
      </c>
      <c r="G156" s="233">
        <f t="shared" si="21"/>
        <v>23</v>
      </c>
      <c r="H156" t="str">
        <f t="shared" si="20"/>
        <v>Cuarto Menguante</v>
      </c>
      <c r="J156">
        <f t="shared" si="19"/>
        <v>3</v>
      </c>
      <c r="K156" t="str">
        <f t="shared" si="22"/>
        <v>Miércoles</v>
      </c>
      <c r="L156" s="203">
        <f t="shared" si="23"/>
        <v>3</v>
      </c>
    </row>
    <row r="157" spans="2:12">
      <c r="B157" s="224" t="s">
        <v>295</v>
      </c>
      <c r="C157" s="203" t="s">
        <v>684</v>
      </c>
      <c r="D157" s="224" t="s">
        <v>295</v>
      </c>
      <c r="E157" s="203" t="s">
        <v>684</v>
      </c>
      <c r="F157" s="302" t="str">
        <f t="shared" si="18"/>
        <v>04/04/24</v>
      </c>
      <c r="G157" s="233">
        <f t="shared" si="21"/>
        <v>24</v>
      </c>
      <c r="H157" t="str">
        <f t="shared" si="20"/>
        <v>Cuarto Menguante</v>
      </c>
      <c r="J157">
        <f t="shared" si="19"/>
        <v>4</v>
      </c>
      <c r="K157" t="str">
        <f t="shared" si="22"/>
        <v>Jueves</v>
      </c>
      <c r="L157" s="203">
        <f t="shared" si="23"/>
        <v>4</v>
      </c>
    </row>
    <row r="158" spans="2:12">
      <c r="B158" s="224" t="s">
        <v>297</v>
      </c>
      <c r="C158" s="203" t="s">
        <v>684</v>
      </c>
      <c r="D158" s="224" t="s">
        <v>295</v>
      </c>
      <c r="E158" s="203" t="s">
        <v>684</v>
      </c>
      <c r="F158" s="302" t="str">
        <f t="shared" si="18"/>
        <v>05/04/24</v>
      </c>
      <c r="G158" s="233">
        <f t="shared" si="21"/>
        <v>25</v>
      </c>
      <c r="H158" t="str">
        <f t="shared" si="20"/>
        <v>Cuarto Menguante</v>
      </c>
      <c r="J158">
        <f t="shared" si="19"/>
        <v>5</v>
      </c>
      <c r="K158" t="str">
        <f t="shared" si="22"/>
        <v>Viernes</v>
      </c>
      <c r="L158" s="203">
        <f t="shared" si="23"/>
        <v>5</v>
      </c>
    </row>
    <row r="159" spans="2:12">
      <c r="B159" s="224" t="s">
        <v>299</v>
      </c>
      <c r="C159" s="203" t="s">
        <v>684</v>
      </c>
      <c r="D159" s="224" t="s">
        <v>295</v>
      </c>
      <c r="E159" s="203" t="s">
        <v>684</v>
      </c>
      <c r="F159" s="302" t="str">
        <f t="shared" si="18"/>
        <v>06/04/24</v>
      </c>
      <c r="G159" s="233">
        <f t="shared" si="21"/>
        <v>26</v>
      </c>
      <c r="H159" t="str">
        <f t="shared" si="20"/>
        <v>Cuarto Menguante</v>
      </c>
      <c r="J159">
        <f t="shared" si="19"/>
        <v>6</v>
      </c>
      <c r="K159" t="str">
        <f t="shared" si="22"/>
        <v>Sábado</v>
      </c>
      <c r="L159" s="203">
        <f t="shared" si="23"/>
        <v>6</v>
      </c>
    </row>
    <row r="160" spans="2:12">
      <c r="B160" s="224" t="s">
        <v>301</v>
      </c>
      <c r="C160" s="203" t="s">
        <v>684</v>
      </c>
      <c r="D160" s="224" t="s">
        <v>295</v>
      </c>
      <c r="E160" s="203" t="s">
        <v>684</v>
      </c>
      <c r="F160" s="302" t="str">
        <f t="shared" si="18"/>
        <v>07/04/24</v>
      </c>
      <c r="G160" s="233">
        <f t="shared" si="21"/>
        <v>27</v>
      </c>
      <c r="H160" t="str">
        <f t="shared" si="20"/>
        <v>Cuarto Menguante</v>
      </c>
      <c r="J160">
        <f t="shared" si="19"/>
        <v>0</v>
      </c>
      <c r="K160" t="str">
        <f t="shared" si="22"/>
        <v>Domingo</v>
      </c>
      <c r="L160" s="203">
        <f t="shared" si="23"/>
        <v>7</v>
      </c>
    </row>
    <row r="161" spans="2:12">
      <c r="B161" s="224" t="s">
        <v>303</v>
      </c>
      <c r="C161" s="203" t="s">
        <v>684</v>
      </c>
      <c r="D161" s="224" t="s">
        <v>295</v>
      </c>
      <c r="E161" s="203" t="s">
        <v>684</v>
      </c>
      <c r="F161" s="302" t="str">
        <f t="shared" si="18"/>
        <v>08/04/24</v>
      </c>
      <c r="G161" s="233">
        <f t="shared" si="21"/>
        <v>28</v>
      </c>
      <c r="H161" t="str">
        <f t="shared" si="20"/>
        <v>Cuarto Menguante</v>
      </c>
      <c r="J161">
        <f t="shared" si="19"/>
        <v>1</v>
      </c>
      <c r="K161" t="str">
        <f t="shared" si="22"/>
        <v>Lunes</v>
      </c>
      <c r="L161" s="203">
        <f t="shared" si="23"/>
        <v>8</v>
      </c>
    </row>
    <row r="162" spans="2:12">
      <c r="B162" s="224" t="s">
        <v>305</v>
      </c>
      <c r="C162" s="203" t="s">
        <v>684</v>
      </c>
      <c r="D162" s="224" t="s">
        <v>295</v>
      </c>
      <c r="E162" s="203" t="s">
        <v>684</v>
      </c>
      <c r="F162" s="302" t="str">
        <f t="shared" si="18"/>
        <v>09/04/24</v>
      </c>
      <c r="G162" s="233">
        <f t="shared" si="21"/>
        <v>29</v>
      </c>
      <c r="H162" t="str">
        <f t="shared" si="20"/>
        <v>Cuarto Menguante</v>
      </c>
      <c r="J162">
        <f t="shared" si="19"/>
        <v>2</v>
      </c>
      <c r="K162" t="str">
        <f t="shared" si="22"/>
        <v>Martes</v>
      </c>
      <c r="L162" s="203">
        <f t="shared" si="23"/>
        <v>9</v>
      </c>
    </row>
    <row r="163" spans="2:12">
      <c r="B163" s="224" t="s">
        <v>307</v>
      </c>
      <c r="C163" s="203" t="s">
        <v>684</v>
      </c>
      <c r="D163" s="224" t="s">
        <v>295</v>
      </c>
      <c r="E163" s="203" t="s">
        <v>684</v>
      </c>
      <c r="F163" s="302" t="str">
        <f t="shared" si="18"/>
        <v>10/04/24</v>
      </c>
      <c r="G163" s="233">
        <f t="shared" si="21"/>
        <v>0</v>
      </c>
      <c r="H163" t="str">
        <f t="shared" si="20"/>
        <v>Luna Nueva</v>
      </c>
      <c r="J163">
        <f t="shared" si="19"/>
        <v>3</v>
      </c>
      <c r="K163" t="str">
        <f t="shared" si="22"/>
        <v>Miércoles</v>
      </c>
      <c r="L163" s="203">
        <f t="shared" si="23"/>
        <v>10</v>
      </c>
    </row>
    <row r="164" spans="2:12">
      <c r="B164" s="224" t="s">
        <v>309</v>
      </c>
      <c r="C164" s="203" t="s">
        <v>684</v>
      </c>
      <c r="D164" s="224" t="s">
        <v>295</v>
      </c>
      <c r="E164" s="203" t="s">
        <v>684</v>
      </c>
      <c r="F164" s="302" t="str">
        <f t="shared" si="18"/>
        <v>11/04/24</v>
      </c>
      <c r="G164" s="233">
        <f t="shared" si="21"/>
        <v>1</v>
      </c>
      <c r="H164" t="str">
        <f t="shared" si="20"/>
        <v>Luna Nueva</v>
      </c>
      <c r="J164">
        <f t="shared" si="19"/>
        <v>4</v>
      </c>
      <c r="K164" t="str">
        <f t="shared" si="22"/>
        <v>Jueves</v>
      </c>
      <c r="L164" s="203">
        <f t="shared" si="23"/>
        <v>11</v>
      </c>
    </row>
    <row r="165" spans="2:12">
      <c r="B165" s="224" t="s">
        <v>311</v>
      </c>
      <c r="C165" s="203" t="s">
        <v>684</v>
      </c>
      <c r="D165" s="224" t="s">
        <v>295</v>
      </c>
      <c r="E165" s="203" t="s">
        <v>684</v>
      </c>
      <c r="F165" s="302" t="str">
        <f t="shared" si="18"/>
        <v>12/04/24</v>
      </c>
      <c r="G165" s="233">
        <f t="shared" si="21"/>
        <v>2</v>
      </c>
      <c r="H165" t="str">
        <f t="shared" si="20"/>
        <v>Luna Nueva</v>
      </c>
      <c r="J165">
        <f t="shared" si="19"/>
        <v>5</v>
      </c>
      <c r="K165" t="str">
        <f t="shared" si="22"/>
        <v>Viernes</v>
      </c>
      <c r="L165" s="203">
        <f t="shared" si="23"/>
        <v>12</v>
      </c>
    </row>
    <row r="166" spans="2:12">
      <c r="B166" s="224" t="s">
        <v>688</v>
      </c>
      <c r="C166" s="203" t="s">
        <v>684</v>
      </c>
      <c r="D166" s="224" t="s">
        <v>295</v>
      </c>
      <c r="E166" s="203" t="s">
        <v>684</v>
      </c>
      <c r="F166" s="302" t="str">
        <f t="shared" si="18"/>
        <v>13/04/24</v>
      </c>
      <c r="G166" s="233">
        <f t="shared" si="21"/>
        <v>3</v>
      </c>
      <c r="H166" t="str">
        <f t="shared" si="20"/>
        <v>Luna Nueva</v>
      </c>
      <c r="J166">
        <f t="shared" si="19"/>
        <v>6</v>
      </c>
      <c r="K166" t="str">
        <f t="shared" si="22"/>
        <v>Sábado</v>
      </c>
      <c r="L166" s="203">
        <f t="shared" si="23"/>
        <v>13</v>
      </c>
    </row>
    <row r="167" spans="2:12">
      <c r="B167" s="224" t="s">
        <v>689</v>
      </c>
      <c r="C167" s="203" t="s">
        <v>684</v>
      </c>
      <c r="D167" s="224" t="s">
        <v>295</v>
      </c>
      <c r="E167" s="203" t="s">
        <v>684</v>
      </c>
      <c r="F167" s="302" t="str">
        <f t="shared" si="18"/>
        <v>14/04/24</v>
      </c>
      <c r="G167" s="233">
        <f t="shared" si="21"/>
        <v>4</v>
      </c>
      <c r="H167" t="str">
        <f t="shared" si="20"/>
        <v>Luna Nueva</v>
      </c>
      <c r="J167">
        <f t="shared" si="19"/>
        <v>0</v>
      </c>
      <c r="K167" t="str">
        <f t="shared" si="22"/>
        <v>Domingo</v>
      </c>
      <c r="L167" s="203">
        <f t="shared" si="23"/>
        <v>14</v>
      </c>
    </row>
    <row r="168" spans="2:12">
      <c r="B168" s="224" t="s">
        <v>690</v>
      </c>
      <c r="C168" s="203" t="s">
        <v>684</v>
      </c>
      <c r="D168" s="224" t="s">
        <v>295</v>
      </c>
      <c r="E168" s="203" t="s">
        <v>684</v>
      </c>
      <c r="F168" s="302" t="str">
        <f t="shared" si="18"/>
        <v>15/04/24</v>
      </c>
      <c r="G168" s="233">
        <f t="shared" si="21"/>
        <v>5</v>
      </c>
      <c r="H168" t="str">
        <f t="shared" si="20"/>
        <v>Luna Nueva</v>
      </c>
      <c r="J168">
        <f t="shared" si="19"/>
        <v>1</v>
      </c>
      <c r="K168" t="str">
        <f t="shared" si="22"/>
        <v>Lunes</v>
      </c>
      <c r="L168" s="203">
        <f t="shared" si="23"/>
        <v>15</v>
      </c>
    </row>
    <row r="169" spans="2:12">
      <c r="B169" s="224" t="s">
        <v>692</v>
      </c>
      <c r="C169" s="203" t="s">
        <v>684</v>
      </c>
      <c r="D169" s="224" t="s">
        <v>295</v>
      </c>
      <c r="E169" s="203" t="s">
        <v>684</v>
      </c>
      <c r="F169" s="302" t="str">
        <f t="shared" si="18"/>
        <v>16/04/24</v>
      </c>
      <c r="G169" s="233">
        <f t="shared" si="21"/>
        <v>6</v>
      </c>
      <c r="H169" t="str">
        <f t="shared" si="20"/>
        <v>Cuarto Creciente</v>
      </c>
      <c r="J169">
        <f t="shared" si="19"/>
        <v>2</v>
      </c>
      <c r="K169" t="str">
        <f t="shared" si="22"/>
        <v>Martes</v>
      </c>
      <c r="L169" s="203">
        <f t="shared" si="23"/>
        <v>16</v>
      </c>
    </row>
    <row r="170" spans="2:12">
      <c r="B170" s="224" t="s">
        <v>693</v>
      </c>
      <c r="C170" s="203" t="s">
        <v>684</v>
      </c>
      <c r="D170" s="224" t="s">
        <v>295</v>
      </c>
      <c r="E170" s="203" t="s">
        <v>684</v>
      </c>
      <c r="F170" s="302" t="str">
        <f t="shared" si="18"/>
        <v>17/04/24</v>
      </c>
      <c r="G170" s="233">
        <f t="shared" si="21"/>
        <v>7</v>
      </c>
      <c r="H170" t="str">
        <f t="shared" si="20"/>
        <v>Cuarto Creciente</v>
      </c>
      <c r="J170">
        <f t="shared" si="19"/>
        <v>3</v>
      </c>
      <c r="K170" t="str">
        <f t="shared" si="22"/>
        <v>Miércoles</v>
      </c>
      <c r="L170" s="203">
        <f t="shared" si="23"/>
        <v>17</v>
      </c>
    </row>
    <row r="171" spans="2:12">
      <c r="B171" s="224" t="s">
        <v>695</v>
      </c>
      <c r="C171" s="203" t="s">
        <v>684</v>
      </c>
      <c r="D171" s="224" t="s">
        <v>295</v>
      </c>
      <c r="E171" s="203" t="s">
        <v>684</v>
      </c>
      <c r="F171" s="302" t="str">
        <f t="shared" si="18"/>
        <v>18/04/24</v>
      </c>
      <c r="G171" s="233">
        <f t="shared" si="21"/>
        <v>8</v>
      </c>
      <c r="H171" t="str">
        <f t="shared" si="20"/>
        <v>Cuarto Creciente</v>
      </c>
      <c r="J171">
        <f t="shared" si="19"/>
        <v>4</v>
      </c>
      <c r="K171" t="str">
        <f t="shared" si="22"/>
        <v>Jueves</v>
      </c>
      <c r="L171" s="203">
        <f t="shared" si="23"/>
        <v>18</v>
      </c>
    </row>
    <row r="172" spans="2:12">
      <c r="B172" s="224" t="s">
        <v>697</v>
      </c>
      <c r="C172" s="203" t="s">
        <v>684</v>
      </c>
      <c r="D172" s="224" t="s">
        <v>295</v>
      </c>
      <c r="E172" s="203" t="s">
        <v>684</v>
      </c>
      <c r="F172" s="302" t="str">
        <f t="shared" si="18"/>
        <v>19/04/24</v>
      </c>
      <c r="G172" s="233">
        <f t="shared" si="21"/>
        <v>9</v>
      </c>
      <c r="H172" t="str">
        <f t="shared" si="20"/>
        <v>Cuarto Creciente</v>
      </c>
      <c r="J172">
        <f t="shared" si="19"/>
        <v>5</v>
      </c>
      <c r="K172" t="str">
        <f t="shared" si="22"/>
        <v>Viernes</v>
      </c>
      <c r="L172" s="203">
        <f t="shared" si="23"/>
        <v>19</v>
      </c>
    </row>
    <row r="173" spans="2:12">
      <c r="B173" s="224" t="s">
        <v>698</v>
      </c>
      <c r="C173" s="203" t="s">
        <v>684</v>
      </c>
      <c r="D173" s="224" t="s">
        <v>295</v>
      </c>
      <c r="E173" s="203" t="s">
        <v>684</v>
      </c>
      <c r="F173" s="302" t="str">
        <f t="shared" si="18"/>
        <v>20/04/24</v>
      </c>
      <c r="G173" s="233">
        <f t="shared" si="21"/>
        <v>10</v>
      </c>
      <c r="H173" t="str">
        <f t="shared" si="20"/>
        <v>Cuarto Creciente</v>
      </c>
      <c r="J173">
        <f t="shared" si="19"/>
        <v>6</v>
      </c>
      <c r="K173" t="str">
        <f t="shared" si="22"/>
        <v>Sábado</v>
      </c>
      <c r="L173" s="203">
        <f t="shared" si="23"/>
        <v>20</v>
      </c>
    </row>
    <row r="174" spans="2:12">
      <c r="B174" s="224" t="s">
        <v>699</v>
      </c>
      <c r="C174" s="203" t="s">
        <v>684</v>
      </c>
      <c r="D174" s="224" t="s">
        <v>295</v>
      </c>
      <c r="E174" s="203" t="s">
        <v>684</v>
      </c>
      <c r="F174" s="302" t="str">
        <f t="shared" si="18"/>
        <v>21/04/24</v>
      </c>
      <c r="G174" s="233">
        <f t="shared" si="21"/>
        <v>11</v>
      </c>
      <c r="H174" t="str">
        <f t="shared" si="20"/>
        <v>Cuarto Creciente</v>
      </c>
      <c r="J174">
        <f t="shared" si="19"/>
        <v>0</v>
      </c>
      <c r="K174" t="str">
        <f t="shared" si="22"/>
        <v>Domingo</v>
      </c>
      <c r="L174" s="203">
        <f t="shared" si="23"/>
        <v>21</v>
      </c>
    </row>
    <row r="175" spans="2:12">
      <c r="B175" s="224" t="s">
        <v>700</v>
      </c>
      <c r="C175" s="203" t="s">
        <v>684</v>
      </c>
      <c r="D175" s="224" t="s">
        <v>295</v>
      </c>
      <c r="E175" s="203" t="s">
        <v>684</v>
      </c>
      <c r="F175" s="302" t="str">
        <f t="shared" si="18"/>
        <v>22/04/24</v>
      </c>
      <c r="G175" s="233">
        <f t="shared" si="21"/>
        <v>12</v>
      </c>
      <c r="H175" t="str">
        <f t="shared" si="20"/>
        <v>Cuarto Creciente</v>
      </c>
      <c r="J175">
        <f t="shared" si="19"/>
        <v>1</v>
      </c>
      <c r="K175" t="str">
        <f t="shared" si="22"/>
        <v>Lunes</v>
      </c>
      <c r="L175" s="203">
        <f t="shared" si="23"/>
        <v>22</v>
      </c>
    </row>
    <row r="176" spans="2:12">
      <c r="B176" s="224" t="s">
        <v>702</v>
      </c>
      <c r="C176" s="203" t="s">
        <v>684</v>
      </c>
      <c r="D176" s="224" t="s">
        <v>295</v>
      </c>
      <c r="E176" s="203" t="s">
        <v>684</v>
      </c>
      <c r="F176" s="302" t="str">
        <f t="shared" si="18"/>
        <v>23/04/24</v>
      </c>
      <c r="G176" s="233">
        <f t="shared" si="21"/>
        <v>13</v>
      </c>
      <c r="H176" t="str">
        <f t="shared" si="20"/>
        <v>Cuarto Creciente</v>
      </c>
      <c r="J176">
        <f t="shared" si="19"/>
        <v>2</v>
      </c>
      <c r="K176" t="str">
        <f t="shared" si="22"/>
        <v>Martes</v>
      </c>
      <c r="L176" s="203">
        <f t="shared" si="23"/>
        <v>23</v>
      </c>
    </row>
    <row r="177" spans="2:12">
      <c r="B177" s="224" t="s">
        <v>703</v>
      </c>
      <c r="C177" s="203" t="s">
        <v>684</v>
      </c>
      <c r="D177" s="224" t="s">
        <v>295</v>
      </c>
      <c r="E177" s="203" t="s">
        <v>684</v>
      </c>
      <c r="F177" s="302" t="str">
        <f t="shared" si="18"/>
        <v>24/04/24</v>
      </c>
      <c r="G177" s="233">
        <f t="shared" si="21"/>
        <v>14</v>
      </c>
      <c r="H177" t="str">
        <f t="shared" si="20"/>
        <v>Luna Llena</v>
      </c>
      <c r="J177">
        <f t="shared" si="19"/>
        <v>3</v>
      </c>
      <c r="K177" t="str">
        <f t="shared" si="22"/>
        <v>Miércoles</v>
      </c>
      <c r="L177" s="203">
        <f t="shared" si="23"/>
        <v>24</v>
      </c>
    </row>
    <row r="178" spans="2:12">
      <c r="B178" s="224" t="s">
        <v>704</v>
      </c>
      <c r="C178" s="203" t="s">
        <v>684</v>
      </c>
      <c r="D178" s="224" t="s">
        <v>295</v>
      </c>
      <c r="E178" s="203" t="s">
        <v>684</v>
      </c>
      <c r="F178" s="302" t="str">
        <f t="shared" si="18"/>
        <v>25/04/24</v>
      </c>
      <c r="G178" s="233">
        <f t="shared" si="21"/>
        <v>15</v>
      </c>
      <c r="H178" t="str">
        <f t="shared" si="20"/>
        <v>Luna Llena</v>
      </c>
      <c r="J178">
        <f t="shared" si="19"/>
        <v>4</v>
      </c>
      <c r="K178" t="str">
        <f t="shared" si="22"/>
        <v>Jueves</v>
      </c>
      <c r="L178" s="203">
        <f t="shared" si="23"/>
        <v>25</v>
      </c>
    </row>
    <row r="179" spans="2:12">
      <c r="B179" s="224" t="s">
        <v>705</v>
      </c>
      <c r="C179" s="203" t="s">
        <v>684</v>
      </c>
      <c r="D179" s="224" t="s">
        <v>295</v>
      </c>
      <c r="E179" s="203" t="s">
        <v>684</v>
      </c>
      <c r="F179" s="302" t="str">
        <f t="shared" si="18"/>
        <v>26/04/24</v>
      </c>
      <c r="G179" s="233">
        <f t="shared" si="21"/>
        <v>16</v>
      </c>
      <c r="H179" t="str">
        <f t="shared" si="20"/>
        <v>Luna Llena</v>
      </c>
      <c r="J179">
        <f t="shared" si="19"/>
        <v>5</v>
      </c>
      <c r="K179" t="str">
        <f t="shared" si="22"/>
        <v>Viernes</v>
      </c>
      <c r="L179" s="203">
        <f t="shared" si="23"/>
        <v>26</v>
      </c>
    </row>
    <row r="180" spans="2:12">
      <c r="B180" s="224" t="s">
        <v>706</v>
      </c>
      <c r="C180" s="203" t="s">
        <v>684</v>
      </c>
      <c r="D180" s="224" t="s">
        <v>295</v>
      </c>
      <c r="E180" s="203" t="s">
        <v>684</v>
      </c>
      <c r="F180" s="302" t="str">
        <f t="shared" si="18"/>
        <v>27/04/24</v>
      </c>
      <c r="G180" s="233">
        <f t="shared" si="21"/>
        <v>17</v>
      </c>
      <c r="H180" t="str">
        <f t="shared" si="20"/>
        <v>Luna Llena</v>
      </c>
      <c r="J180">
        <f t="shared" si="19"/>
        <v>6</v>
      </c>
      <c r="K180" t="str">
        <f t="shared" si="22"/>
        <v>Sábado</v>
      </c>
      <c r="L180" s="203">
        <f t="shared" si="23"/>
        <v>27</v>
      </c>
    </row>
    <row r="181" spans="2:12">
      <c r="B181" s="224" t="s">
        <v>708</v>
      </c>
      <c r="C181" s="203" t="s">
        <v>684</v>
      </c>
      <c r="D181" s="224" t="s">
        <v>295</v>
      </c>
      <c r="E181" s="203" t="s">
        <v>684</v>
      </c>
      <c r="F181" s="302" t="str">
        <f t="shared" si="18"/>
        <v>28/04/24</v>
      </c>
      <c r="G181" s="233">
        <f t="shared" si="21"/>
        <v>18</v>
      </c>
      <c r="H181" t="str">
        <f t="shared" si="20"/>
        <v>Luna Llena</v>
      </c>
      <c r="J181">
        <f t="shared" si="19"/>
        <v>0</v>
      </c>
      <c r="K181" t="str">
        <f t="shared" si="22"/>
        <v>Domingo</v>
      </c>
      <c r="L181" s="203">
        <f t="shared" si="23"/>
        <v>28</v>
      </c>
    </row>
    <row r="182" spans="2:12">
      <c r="B182" s="224">
        <v>29</v>
      </c>
      <c r="C182" s="203" t="s">
        <v>684</v>
      </c>
      <c r="D182" s="224" t="s">
        <v>295</v>
      </c>
      <c r="E182" s="203" t="s">
        <v>684</v>
      </c>
      <c r="F182" s="302" t="str">
        <f t="shared" si="18"/>
        <v>29/04/24</v>
      </c>
      <c r="G182" s="233">
        <f t="shared" si="21"/>
        <v>19</v>
      </c>
      <c r="H182" t="str">
        <f t="shared" si="20"/>
        <v>Luna Llena</v>
      </c>
      <c r="J182">
        <f t="shared" si="19"/>
        <v>1</v>
      </c>
      <c r="K182" t="str">
        <f t="shared" si="22"/>
        <v>Lunes</v>
      </c>
      <c r="L182" s="203">
        <f t="shared" si="23"/>
        <v>29</v>
      </c>
    </row>
    <row r="183" spans="2:12">
      <c r="B183" s="224">
        <v>30</v>
      </c>
      <c r="C183" s="203" t="s">
        <v>684</v>
      </c>
      <c r="D183" s="224" t="s">
        <v>295</v>
      </c>
      <c r="E183" s="203" t="s">
        <v>684</v>
      </c>
      <c r="F183" s="302" t="str">
        <f t="shared" si="18"/>
        <v>30/04/24</v>
      </c>
      <c r="G183" s="233">
        <f t="shared" si="21"/>
        <v>20</v>
      </c>
      <c r="H183" t="str">
        <f t="shared" si="20"/>
        <v>Luna Llena</v>
      </c>
      <c r="J183">
        <f t="shared" si="19"/>
        <v>2</v>
      </c>
      <c r="K183" t="str">
        <f t="shared" si="22"/>
        <v>Martes</v>
      </c>
      <c r="L183" s="203">
        <f t="shared" si="23"/>
        <v>30</v>
      </c>
    </row>
    <row r="184" spans="2:12">
      <c r="B184" s="224" t="s">
        <v>289</v>
      </c>
      <c r="C184" s="203" t="s">
        <v>684</v>
      </c>
      <c r="D184" s="224" t="s">
        <v>297</v>
      </c>
      <c r="E184" s="203" t="s">
        <v>684</v>
      </c>
      <c r="F184" s="302" t="str">
        <f t="shared" si="18"/>
        <v>01/05/24</v>
      </c>
      <c r="G184" s="233">
        <f t="shared" si="21"/>
        <v>22</v>
      </c>
      <c r="H184" t="str">
        <f t="shared" si="20"/>
        <v>Cuarto Menguante</v>
      </c>
      <c r="J184">
        <f t="shared" si="19"/>
        <v>3</v>
      </c>
      <c r="K184" t="str">
        <f t="shared" si="22"/>
        <v>Miércoles</v>
      </c>
      <c r="L184" s="203">
        <f t="shared" si="23"/>
        <v>1</v>
      </c>
    </row>
    <row r="185" spans="2:12">
      <c r="B185" s="224" t="s">
        <v>291</v>
      </c>
      <c r="C185" s="203" t="s">
        <v>684</v>
      </c>
      <c r="D185" s="224" t="s">
        <v>297</v>
      </c>
      <c r="E185" s="203" t="s">
        <v>684</v>
      </c>
      <c r="F185" s="302" t="str">
        <f t="shared" si="18"/>
        <v>02/05/24</v>
      </c>
      <c r="G185" s="233">
        <f t="shared" si="21"/>
        <v>23</v>
      </c>
      <c r="H185" t="str">
        <f t="shared" si="20"/>
        <v>Cuarto Menguante</v>
      </c>
      <c r="J185">
        <f t="shared" si="19"/>
        <v>4</v>
      </c>
      <c r="K185" t="str">
        <f t="shared" si="22"/>
        <v>Jueves</v>
      </c>
      <c r="L185" s="203">
        <f t="shared" si="23"/>
        <v>2</v>
      </c>
    </row>
    <row r="186" spans="2:12">
      <c r="B186" s="224" t="s">
        <v>293</v>
      </c>
      <c r="C186" s="203" t="s">
        <v>684</v>
      </c>
      <c r="D186" s="224" t="s">
        <v>297</v>
      </c>
      <c r="E186" s="203" t="s">
        <v>684</v>
      </c>
      <c r="F186" s="302" t="str">
        <f t="shared" si="18"/>
        <v>03/05/24</v>
      </c>
      <c r="G186" s="233">
        <f t="shared" si="21"/>
        <v>24</v>
      </c>
      <c r="H186" t="str">
        <f t="shared" si="20"/>
        <v>Cuarto Menguante</v>
      </c>
      <c r="J186">
        <f t="shared" si="19"/>
        <v>5</v>
      </c>
      <c r="K186" t="str">
        <f t="shared" si="22"/>
        <v>Viernes</v>
      </c>
      <c r="L186" s="203">
        <f t="shared" si="23"/>
        <v>3</v>
      </c>
    </row>
    <row r="187" spans="2:12">
      <c r="B187" s="224" t="s">
        <v>295</v>
      </c>
      <c r="C187" s="203" t="s">
        <v>684</v>
      </c>
      <c r="D187" s="224" t="s">
        <v>297</v>
      </c>
      <c r="E187" s="203" t="s">
        <v>684</v>
      </c>
      <c r="F187" s="302" t="str">
        <f t="shared" ref="F187:F250" si="24">CONCATENATE(B187,C187,D187,E187,$E$37)</f>
        <v>04/05/24</v>
      </c>
      <c r="G187" s="233">
        <f t="shared" si="21"/>
        <v>25</v>
      </c>
      <c r="H187" t="str">
        <f t="shared" si="20"/>
        <v>Cuarto Menguante</v>
      </c>
      <c r="J187">
        <f t="shared" si="19"/>
        <v>6</v>
      </c>
      <c r="K187" t="str">
        <f t="shared" si="22"/>
        <v>Sábado</v>
      </c>
      <c r="L187" s="203">
        <f t="shared" si="23"/>
        <v>4</v>
      </c>
    </row>
    <row r="188" spans="2:12">
      <c r="B188" s="224" t="s">
        <v>297</v>
      </c>
      <c r="C188" s="203" t="s">
        <v>684</v>
      </c>
      <c r="D188" s="224" t="s">
        <v>297</v>
      </c>
      <c r="E188" s="203" t="s">
        <v>684</v>
      </c>
      <c r="F188" s="302" t="str">
        <f t="shared" si="24"/>
        <v>05/05/24</v>
      </c>
      <c r="G188" s="233">
        <f t="shared" si="21"/>
        <v>26</v>
      </c>
      <c r="H188" t="str">
        <f t="shared" si="20"/>
        <v>Cuarto Menguante</v>
      </c>
      <c r="J188">
        <f t="shared" si="19"/>
        <v>0</v>
      </c>
      <c r="K188" t="str">
        <f t="shared" si="22"/>
        <v>Domingo</v>
      </c>
      <c r="L188" s="203">
        <f t="shared" si="23"/>
        <v>5</v>
      </c>
    </row>
    <row r="189" spans="2:12">
      <c r="B189" s="224" t="s">
        <v>299</v>
      </c>
      <c r="C189" s="203" t="s">
        <v>684</v>
      </c>
      <c r="D189" s="224" t="s">
        <v>297</v>
      </c>
      <c r="E189" s="203" t="s">
        <v>684</v>
      </c>
      <c r="F189" s="302" t="str">
        <f t="shared" si="24"/>
        <v>06/05/24</v>
      </c>
      <c r="G189" s="233">
        <f t="shared" si="21"/>
        <v>27</v>
      </c>
      <c r="H189" t="str">
        <f t="shared" si="20"/>
        <v>Cuarto Menguante</v>
      </c>
      <c r="J189">
        <f t="shared" ref="J189:J252" si="25">IF(J188&lt;6,J188+1,0)</f>
        <v>1</v>
      </c>
      <c r="K189" t="str">
        <f t="shared" si="22"/>
        <v>Lunes</v>
      </c>
      <c r="L189" s="203">
        <f t="shared" si="23"/>
        <v>6</v>
      </c>
    </row>
    <row r="190" spans="2:12">
      <c r="B190" s="224" t="s">
        <v>301</v>
      </c>
      <c r="C190" s="203" t="s">
        <v>684</v>
      </c>
      <c r="D190" s="224" t="s">
        <v>297</v>
      </c>
      <c r="E190" s="203" t="s">
        <v>684</v>
      </c>
      <c r="F190" s="302" t="str">
        <f t="shared" si="24"/>
        <v>07/05/24</v>
      </c>
      <c r="G190" s="233">
        <f t="shared" si="21"/>
        <v>28</v>
      </c>
      <c r="H190" t="str">
        <f t="shared" si="20"/>
        <v>Cuarto Menguante</v>
      </c>
      <c r="J190">
        <f t="shared" si="25"/>
        <v>2</v>
      </c>
      <c r="K190" t="str">
        <f t="shared" si="22"/>
        <v>Martes</v>
      </c>
      <c r="L190" s="203">
        <f t="shared" si="23"/>
        <v>7</v>
      </c>
    </row>
    <row r="191" spans="2:12">
      <c r="B191" s="224" t="s">
        <v>303</v>
      </c>
      <c r="C191" s="203" t="s">
        <v>684</v>
      </c>
      <c r="D191" s="224" t="s">
        <v>297</v>
      </c>
      <c r="E191" s="203" t="s">
        <v>684</v>
      </c>
      <c r="F191" s="302" t="str">
        <f t="shared" si="24"/>
        <v>08/05/24</v>
      </c>
      <c r="G191" s="233">
        <f t="shared" si="21"/>
        <v>29</v>
      </c>
      <c r="H191" t="str">
        <f t="shared" ref="H191:H254" si="26">VLOOKUP(G191,$J$32:$K$61,2)</f>
        <v>Cuarto Menguante</v>
      </c>
      <c r="J191">
        <f t="shared" si="25"/>
        <v>3</v>
      </c>
      <c r="K191" t="str">
        <f t="shared" si="22"/>
        <v>Miércoles</v>
      </c>
      <c r="L191" s="203">
        <f t="shared" si="23"/>
        <v>8</v>
      </c>
    </row>
    <row r="192" spans="2:12">
      <c r="B192" s="224" t="s">
        <v>305</v>
      </c>
      <c r="C192" s="203" t="s">
        <v>684</v>
      </c>
      <c r="D192" s="224" t="s">
        <v>297</v>
      </c>
      <c r="E192" s="203" t="s">
        <v>684</v>
      </c>
      <c r="F192" s="302" t="str">
        <f t="shared" si="24"/>
        <v>09/05/24</v>
      </c>
      <c r="G192" s="233">
        <f t="shared" ref="G192:G255" si="27">MOD($A$69+B192+VLOOKUP(MONTH(F192),$B$35:$D$46,3),30)</f>
        <v>0</v>
      </c>
      <c r="H192" t="str">
        <f t="shared" si="26"/>
        <v>Luna Nueva</v>
      </c>
      <c r="J192">
        <f t="shared" si="25"/>
        <v>4</v>
      </c>
      <c r="K192" t="str">
        <f t="shared" ref="K192:K255" si="28">VLOOKUP(J192,$H$45:$I$52,2)</f>
        <v>Jueves</v>
      </c>
      <c r="L192" s="203">
        <f t="shared" ref="L192:L255" si="29">VALUE(LEFT(F192,2))</f>
        <v>9</v>
      </c>
    </row>
    <row r="193" spans="2:12">
      <c r="B193" s="224" t="s">
        <v>307</v>
      </c>
      <c r="C193" s="203" t="s">
        <v>684</v>
      </c>
      <c r="D193" s="224" t="s">
        <v>297</v>
      </c>
      <c r="E193" s="203" t="s">
        <v>684</v>
      </c>
      <c r="F193" s="302" t="str">
        <f t="shared" si="24"/>
        <v>10/05/24</v>
      </c>
      <c r="G193" s="233">
        <f t="shared" si="27"/>
        <v>1</v>
      </c>
      <c r="H193" t="str">
        <f t="shared" si="26"/>
        <v>Luna Nueva</v>
      </c>
      <c r="J193">
        <f t="shared" si="25"/>
        <v>5</v>
      </c>
      <c r="K193" t="str">
        <f t="shared" si="28"/>
        <v>Viernes</v>
      </c>
      <c r="L193" s="203">
        <f t="shared" si="29"/>
        <v>10</v>
      </c>
    </row>
    <row r="194" spans="2:12">
      <c r="B194" s="224" t="s">
        <v>309</v>
      </c>
      <c r="C194" s="203" t="s">
        <v>684</v>
      </c>
      <c r="D194" s="224" t="s">
        <v>297</v>
      </c>
      <c r="E194" s="203" t="s">
        <v>684</v>
      </c>
      <c r="F194" s="302" t="str">
        <f t="shared" si="24"/>
        <v>11/05/24</v>
      </c>
      <c r="G194" s="233">
        <f t="shared" si="27"/>
        <v>2</v>
      </c>
      <c r="H194" t="str">
        <f t="shared" si="26"/>
        <v>Luna Nueva</v>
      </c>
      <c r="J194">
        <f t="shared" si="25"/>
        <v>6</v>
      </c>
      <c r="K194" t="str">
        <f t="shared" si="28"/>
        <v>Sábado</v>
      </c>
      <c r="L194" s="203">
        <f t="shared" si="29"/>
        <v>11</v>
      </c>
    </row>
    <row r="195" spans="2:12">
      <c r="B195" s="224" t="s">
        <v>311</v>
      </c>
      <c r="C195" s="203" t="s">
        <v>684</v>
      </c>
      <c r="D195" s="224" t="s">
        <v>297</v>
      </c>
      <c r="E195" s="203" t="s">
        <v>684</v>
      </c>
      <c r="F195" s="302" t="str">
        <f t="shared" si="24"/>
        <v>12/05/24</v>
      </c>
      <c r="G195" s="233">
        <f t="shared" si="27"/>
        <v>3</v>
      </c>
      <c r="H195" t="str">
        <f t="shared" si="26"/>
        <v>Luna Nueva</v>
      </c>
      <c r="J195">
        <f t="shared" si="25"/>
        <v>0</v>
      </c>
      <c r="K195" t="str">
        <f t="shared" si="28"/>
        <v>Domingo</v>
      </c>
      <c r="L195" s="203">
        <f t="shared" si="29"/>
        <v>12</v>
      </c>
    </row>
    <row r="196" spans="2:12">
      <c r="B196" s="224" t="s">
        <v>688</v>
      </c>
      <c r="C196" s="203" t="s">
        <v>684</v>
      </c>
      <c r="D196" s="224" t="s">
        <v>297</v>
      </c>
      <c r="E196" s="203" t="s">
        <v>684</v>
      </c>
      <c r="F196" s="302" t="str">
        <f t="shared" si="24"/>
        <v>13/05/24</v>
      </c>
      <c r="G196" s="233">
        <f t="shared" si="27"/>
        <v>4</v>
      </c>
      <c r="H196" t="str">
        <f t="shared" si="26"/>
        <v>Luna Nueva</v>
      </c>
      <c r="J196">
        <f t="shared" si="25"/>
        <v>1</v>
      </c>
      <c r="K196" t="str">
        <f t="shared" si="28"/>
        <v>Lunes</v>
      </c>
      <c r="L196" s="203">
        <f t="shared" si="29"/>
        <v>13</v>
      </c>
    </row>
    <row r="197" spans="2:12">
      <c r="B197" s="224" t="s">
        <v>689</v>
      </c>
      <c r="C197" s="203" t="s">
        <v>684</v>
      </c>
      <c r="D197" s="224" t="s">
        <v>297</v>
      </c>
      <c r="E197" s="203" t="s">
        <v>684</v>
      </c>
      <c r="F197" s="302" t="str">
        <f t="shared" si="24"/>
        <v>14/05/24</v>
      </c>
      <c r="G197" s="233">
        <f t="shared" si="27"/>
        <v>5</v>
      </c>
      <c r="H197" t="str">
        <f t="shared" si="26"/>
        <v>Luna Nueva</v>
      </c>
      <c r="J197">
        <f t="shared" si="25"/>
        <v>2</v>
      </c>
      <c r="K197" t="str">
        <f t="shared" si="28"/>
        <v>Martes</v>
      </c>
      <c r="L197" s="203">
        <f t="shared" si="29"/>
        <v>14</v>
      </c>
    </row>
    <row r="198" spans="2:12">
      <c r="B198" s="224" t="s">
        <v>690</v>
      </c>
      <c r="C198" s="203" t="s">
        <v>684</v>
      </c>
      <c r="D198" s="224" t="s">
        <v>297</v>
      </c>
      <c r="E198" s="203" t="s">
        <v>684</v>
      </c>
      <c r="F198" s="302" t="str">
        <f t="shared" si="24"/>
        <v>15/05/24</v>
      </c>
      <c r="G198" s="233">
        <f t="shared" si="27"/>
        <v>6</v>
      </c>
      <c r="H198" t="str">
        <f t="shared" si="26"/>
        <v>Cuarto Creciente</v>
      </c>
      <c r="J198">
        <f t="shared" si="25"/>
        <v>3</v>
      </c>
      <c r="K198" t="str">
        <f t="shared" si="28"/>
        <v>Miércoles</v>
      </c>
      <c r="L198" s="203">
        <f t="shared" si="29"/>
        <v>15</v>
      </c>
    </row>
    <row r="199" spans="2:12">
      <c r="B199" s="224" t="s">
        <v>692</v>
      </c>
      <c r="C199" s="203" t="s">
        <v>684</v>
      </c>
      <c r="D199" s="224" t="s">
        <v>297</v>
      </c>
      <c r="E199" s="203" t="s">
        <v>684</v>
      </c>
      <c r="F199" s="302" t="str">
        <f t="shared" si="24"/>
        <v>16/05/24</v>
      </c>
      <c r="G199" s="233">
        <f t="shared" si="27"/>
        <v>7</v>
      </c>
      <c r="H199" t="str">
        <f t="shared" si="26"/>
        <v>Cuarto Creciente</v>
      </c>
      <c r="J199">
        <f t="shared" si="25"/>
        <v>4</v>
      </c>
      <c r="K199" t="str">
        <f t="shared" si="28"/>
        <v>Jueves</v>
      </c>
      <c r="L199" s="203">
        <f t="shared" si="29"/>
        <v>16</v>
      </c>
    </row>
    <row r="200" spans="2:12">
      <c r="B200" s="224" t="s">
        <v>693</v>
      </c>
      <c r="C200" s="203" t="s">
        <v>684</v>
      </c>
      <c r="D200" s="224" t="s">
        <v>297</v>
      </c>
      <c r="E200" s="203" t="s">
        <v>684</v>
      </c>
      <c r="F200" s="302" t="str">
        <f t="shared" si="24"/>
        <v>17/05/24</v>
      </c>
      <c r="G200" s="233">
        <f t="shared" si="27"/>
        <v>8</v>
      </c>
      <c r="H200" t="str">
        <f t="shared" si="26"/>
        <v>Cuarto Creciente</v>
      </c>
      <c r="J200">
        <f t="shared" si="25"/>
        <v>5</v>
      </c>
      <c r="K200" t="str">
        <f t="shared" si="28"/>
        <v>Viernes</v>
      </c>
      <c r="L200" s="203">
        <f t="shared" si="29"/>
        <v>17</v>
      </c>
    </row>
    <row r="201" spans="2:12">
      <c r="B201" s="224" t="s">
        <v>695</v>
      </c>
      <c r="C201" s="203" t="s">
        <v>684</v>
      </c>
      <c r="D201" s="224" t="s">
        <v>297</v>
      </c>
      <c r="E201" s="203" t="s">
        <v>684</v>
      </c>
      <c r="F201" s="302" t="str">
        <f t="shared" si="24"/>
        <v>18/05/24</v>
      </c>
      <c r="G201" s="233">
        <f t="shared" si="27"/>
        <v>9</v>
      </c>
      <c r="H201" t="str">
        <f t="shared" si="26"/>
        <v>Cuarto Creciente</v>
      </c>
      <c r="J201">
        <f t="shared" si="25"/>
        <v>6</v>
      </c>
      <c r="K201" t="str">
        <f t="shared" si="28"/>
        <v>Sábado</v>
      </c>
      <c r="L201" s="203">
        <f t="shared" si="29"/>
        <v>18</v>
      </c>
    </row>
    <row r="202" spans="2:12">
      <c r="B202" s="224" t="s">
        <v>697</v>
      </c>
      <c r="C202" s="203" t="s">
        <v>684</v>
      </c>
      <c r="D202" s="224" t="s">
        <v>297</v>
      </c>
      <c r="E202" s="203" t="s">
        <v>684</v>
      </c>
      <c r="F202" s="302" t="str">
        <f t="shared" si="24"/>
        <v>19/05/24</v>
      </c>
      <c r="G202" s="233">
        <f t="shared" si="27"/>
        <v>10</v>
      </c>
      <c r="H202" t="str">
        <f t="shared" si="26"/>
        <v>Cuarto Creciente</v>
      </c>
      <c r="J202">
        <f t="shared" si="25"/>
        <v>0</v>
      </c>
      <c r="K202" t="str">
        <f t="shared" si="28"/>
        <v>Domingo</v>
      </c>
      <c r="L202" s="203">
        <f t="shared" si="29"/>
        <v>19</v>
      </c>
    </row>
    <row r="203" spans="2:12">
      <c r="B203" s="224" t="s">
        <v>698</v>
      </c>
      <c r="C203" s="203" t="s">
        <v>684</v>
      </c>
      <c r="D203" s="224" t="s">
        <v>297</v>
      </c>
      <c r="E203" s="203" t="s">
        <v>684</v>
      </c>
      <c r="F203" s="302" t="str">
        <f t="shared" si="24"/>
        <v>20/05/24</v>
      </c>
      <c r="G203" s="233">
        <f t="shared" si="27"/>
        <v>11</v>
      </c>
      <c r="H203" t="str">
        <f t="shared" si="26"/>
        <v>Cuarto Creciente</v>
      </c>
      <c r="J203">
        <f t="shared" si="25"/>
        <v>1</v>
      </c>
      <c r="K203" t="str">
        <f t="shared" si="28"/>
        <v>Lunes</v>
      </c>
      <c r="L203" s="203">
        <f t="shared" si="29"/>
        <v>20</v>
      </c>
    </row>
    <row r="204" spans="2:12">
      <c r="B204" s="224" t="s">
        <v>699</v>
      </c>
      <c r="C204" s="203" t="s">
        <v>684</v>
      </c>
      <c r="D204" s="224" t="s">
        <v>297</v>
      </c>
      <c r="E204" s="203" t="s">
        <v>684</v>
      </c>
      <c r="F204" s="302" t="str">
        <f t="shared" si="24"/>
        <v>21/05/24</v>
      </c>
      <c r="G204" s="233">
        <f t="shared" si="27"/>
        <v>12</v>
      </c>
      <c r="H204" t="str">
        <f t="shared" si="26"/>
        <v>Cuarto Creciente</v>
      </c>
      <c r="J204">
        <f t="shared" si="25"/>
        <v>2</v>
      </c>
      <c r="K204" t="str">
        <f t="shared" si="28"/>
        <v>Martes</v>
      </c>
      <c r="L204" s="203">
        <f t="shared" si="29"/>
        <v>21</v>
      </c>
    </row>
    <row r="205" spans="2:12">
      <c r="B205" s="224" t="s">
        <v>700</v>
      </c>
      <c r="C205" s="203" t="s">
        <v>684</v>
      </c>
      <c r="D205" s="224" t="s">
        <v>297</v>
      </c>
      <c r="E205" s="203" t="s">
        <v>684</v>
      </c>
      <c r="F205" s="302" t="str">
        <f t="shared" si="24"/>
        <v>22/05/24</v>
      </c>
      <c r="G205" s="233">
        <f t="shared" si="27"/>
        <v>13</v>
      </c>
      <c r="H205" t="str">
        <f t="shared" si="26"/>
        <v>Cuarto Creciente</v>
      </c>
      <c r="J205">
        <f t="shared" si="25"/>
        <v>3</v>
      </c>
      <c r="K205" t="str">
        <f t="shared" si="28"/>
        <v>Miércoles</v>
      </c>
      <c r="L205" s="203">
        <f t="shared" si="29"/>
        <v>22</v>
      </c>
    </row>
    <row r="206" spans="2:12">
      <c r="B206" s="224" t="s">
        <v>702</v>
      </c>
      <c r="C206" s="203" t="s">
        <v>684</v>
      </c>
      <c r="D206" s="224" t="s">
        <v>297</v>
      </c>
      <c r="E206" s="203" t="s">
        <v>684</v>
      </c>
      <c r="F206" s="302" t="str">
        <f t="shared" si="24"/>
        <v>23/05/24</v>
      </c>
      <c r="G206" s="233">
        <f t="shared" si="27"/>
        <v>14</v>
      </c>
      <c r="H206" t="str">
        <f t="shared" si="26"/>
        <v>Luna Llena</v>
      </c>
      <c r="J206">
        <f t="shared" si="25"/>
        <v>4</v>
      </c>
      <c r="K206" t="str">
        <f t="shared" si="28"/>
        <v>Jueves</v>
      </c>
      <c r="L206" s="203">
        <f t="shared" si="29"/>
        <v>23</v>
      </c>
    </row>
    <row r="207" spans="2:12">
      <c r="B207" s="224" t="s">
        <v>703</v>
      </c>
      <c r="C207" s="203" t="s">
        <v>684</v>
      </c>
      <c r="D207" s="224" t="s">
        <v>297</v>
      </c>
      <c r="E207" s="203" t="s">
        <v>684</v>
      </c>
      <c r="F207" s="302" t="str">
        <f t="shared" si="24"/>
        <v>24/05/24</v>
      </c>
      <c r="G207" s="233">
        <f t="shared" si="27"/>
        <v>15</v>
      </c>
      <c r="H207" t="str">
        <f t="shared" si="26"/>
        <v>Luna Llena</v>
      </c>
      <c r="J207">
        <f t="shared" si="25"/>
        <v>5</v>
      </c>
      <c r="K207" t="str">
        <f t="shared" si="28"/>
        <v>Viernes</v>
      </c>
      <c r="L207" s="203">
        <f t="shared" si="29"/>
        <v>24</v>
      </c>
    </row>
    <row r="208" spans="2:12">
      <c r="B208" s="224" t="s">
        <v>704</v>
      </c>
      <c r="C208" s="203" t="s">
        <v>684</v>
      </c>
      <c r="D208" s="224" t="s">
        <v>297</v>
      </c>
      <c r="E208" s="203" t="s">
        <v>684</v>
      </c>
      <c r="F208" s="302" t="str">
        <f t="shared" si="24"/>
        <v>25/05/24</v>
      </c>
      <c r="G208" s="233">
        <f t="shared" si="27"/>
        <v>16</v>
      </c>
      <c r="H208" t="str">
        <f t="shared" si="26"/>
        <v>Luna Llena</v>
      </c>
      <c r="J208">
        <f t="shared" si="25"/>
        <v>6</v>
      </c>
      <c r="K208" t="str">
        <f t="shared" si="28"/>
        <v>Sábado</v>
      </c>
      <c r="L208" s="203">
        <f t="shared" si="29"/>
        <v>25</v>
      </c>
    </row>
    <row r="209" spans="2:12">
      <c r="B209" s="224" t="s">
        <v>705</v>
      </c>
      <c r="C209" s="203" t="s">
        <v>684</v>
      </c>
      <c r="D209" s="224" t="s">
        <v>297</v>
      </c>
      <c r="E209" s="203" t="s">
        <v>684</v>
      </c>
      <c r="F209" s="302" t="str">
        <f t="shared" si="24"/>
        <v>26/05/24</v>
      </c>
      <c r="G209" s="233">
        <f t="shared" si="27"/>
        <v>17</v>
      </c>
      <c r="H209" t="str">
        <f t="shared" si="26"/>
        <v>Luna Llena</v>
      </c>
      <c r="J209">
        <f t="shared" si="25"/>
        <v>0</v>
      </c>
      <c r="K209" t="str">
        <f t="shared" si="28"/>
        <v>Domingo</v>
      </c>
      <c r="L209" s="203">
        <f t="shared" si="29"/>
        <v>26</v>
      </c>
    </row>
    <row r="210" spans="2:12">
      <c r="B210" s="224" t="s">
        <v>706</v>
      </c>
      <c r="C210" s="203" t="s">
        <v>684</v>
      </c>
      <c r="D210" s="224" t="s">
        <v>297</v>
      </c>
      <c r="E210" s="203" t="s">
        <v>684</v>
      </c>
      <c r="F210" s="302" t="str">
        <f t="shared" si="24"/>
        <v>27/05/24</v>
      </c>
      <c r="G210" s="233">
        <f t="shared" si="27"/>
        <v>18</v>
      </c>
      <c r="H210" t="str">
        <f t="shared" si="26"/>
        <v>Luna Llena</v>
      </c>
      <c r="J210">
        <f t="shared" si="25"/>
        <v>1</v>
      </c>
      <c r="K210" t="str">
        <f t="shared" si="28"/>
        <v>Lunes</v>
      </c>
      <c r="L210" s="203">
        <f t="shared" si="29"/>
        <v>27</v>
      </c>
    </row>
    <row r="211" spans="2:12">
      <c r="B211" s="224" t="s">
        <v>708</v>
      </c>
      <c r="C211" s="203" t="s">
        <v>684</v>
      </c>
      <c r="D211" s="224" t="s">
        <v>297</v>
      </c>
      <c r="E211" s="203" t="s">
        <v>684</v>
      </c>
      <c r="F211" s="302" t="str">
        <f t="shared" si="24"/>
        <v>28/05/24</v>
      </c>
      <c r="G211" s="233">
        <f t="shared" si="27"/>
        <v>19</v>
      </c>
      <c r="H211" t="str">
        <f t="shared" si="26"/>
        <v>Luna Llena</v>
      </c>
      <c r="J211">
        <f t="shared" si="25"/>
        <v>2</v>
      </c>
      <c r="K211" t="str">
        <f t="shared" si="28"/>
        <v>Martes</v>
      </c>
      <c r="L211" s="203">
        <f t="shared" si="29"/>
        <v>28</v>
      </c>
    </row>
    <row r="212" spans="2:12">
      <c r="B212" s="224">
        <v>29</v>
      </c>
      <c r="C212" s="203" t="s">
        <v>684</v>
      </c>
      <c r="D212" s="224" t="s">
        <v>297</v>
      </c>
      <c r="E212" s="203" t="s">
        <v>684</v>
      </c>
      <c r="F212" s="302" t="str">
        <f t="shared" si="24"/>
        <v>29/05/24</v>
      </c>
      <c r="G212" s="233">
        <f t="shared" si="27"/>
        <v>20</v>
      </c>
      <c r="H212" t="str">
        <f t="shared" si="26"/>
        <v>Luna Llena</v>
      </c>
      <c r="J212">
        <f t="shared" si="25"/>
        <v>3</v>
      </c>
      <c r="K212" t="str">
        <f t="shared" si="28"/>
        <v>Miércoles</v>
      </c>
      <c r="L212" s="203">
        <f t="shared" si="29"/>
        <v>29</v>
      </c>
    </row>
    <row r="213" spans="2:12">
      <c r="B213" s="224">
        <v>30</v>
      </c>
      <c r="C213" s="203" t="s">
        <v>684</v>
      </c>
      <c r="D213" s="224" t="s">
        <v>297</v>
      </c>
      <c r="E213" s="203" t="s">
        <v>684</v>
      </c>
      <c r="F213" s="302" t="str">
        <f t="shared" si="24"/>
        <v>30/05/24</v>
      </c>
      <c r="G213" s="233">
        <f t="shared" si="27"/>
        <v>21</v>
      </c>
      <c r="H213" t="str">
        <f t="shared" si="26"/>
        <v>Cuarto Menguante</v>
      </c>
      <c r="J213">
        <f t="shared" si="25"/>
        <v>4</v>
      </c>
      <c r="K213" t="str">
        <f t="shared" si="28"/>
        <v>Jueves</v>
      </c>
      <c r="L213" s="203">
        <f t="shared" si="29"/>
        <v>30</v>
      </c>
    </row>
    <row r="214" spans="2:12">
      <c r="B214" s="224">
        <v>31</v>
      </c>
      <c r="C214" s="203" t="s">
        <v>684</v>
      </c>
      <c r="D214" s="224" t="s">
        <v>297</v>
      </c>
      <c r="E214" s="203" t="s">
        <v>684</v>
      </c>
      <c r="F214" s="302" t="str">
        <f t="shared" si="24"/>
        <v>31/05/24</v>
      </c>
      <c r="G214" s="233">
        <f t="shared" si="27"/>
        <v>22</v>
      </c>
      <c r="H214" t="str">
        <f t="shared" si="26"/>
        <v>Cuarto Menguante</v>
      </c>
      <c r="J214">
        <f t="shared" si="25"/>
        <v>5</v>
      </c>
      <c r="K214" t="str">
        <f t="shared" si="28"/>
        <v>Viernes</v>
      </c>
      <c r="L214" s="203">
        <f t="shared" si="29"/>
        <v>31</v>
      </c>
    </row>
    <row r="215" spans="2:12">
      <c r="B215" s="224" t="s">
        <v>289</v>
      </c>
      <c r="C215" s="203" t="s">
        <v>684</v>
      </c>
      <c r="D215" s="224" t="s">
        <v>299</v>
      </c>
      <c r="E215" s="203" t="s">
        <v>684</v>
      </c>
      <c r="F215" s="302" t="str">
        <f t="shared" si="24"/>
        <v>01/06/24</v>
      </c>
      <c r="G215" s="233">
        <f t="shared" si="27"/>
        <v>23</v>
      </c>
      <c r="H215" t="str">
        <f t="shared" si="26"/>
        <v>Cuarto Menguante</v>
      </c>
      <c r="J215">
        <f t="shared" si="25"/>
        <v>6</v>
      </c>
      <c r="K215" t="str">
        <f t="shared" si="28"/>
        <v>Sábado</v>
      </c>
      <c r="L215" s="203">
        <f t="shared" si="29"/>
        <v>1</v>
      </c>
    </row>
    <row r="216" spans="2:12">
      <c r="B216" s="224" t="s">
        <v>291</v>
      </c>
      <c r="C216" s="203" t="s">
        <v>684</v>
      </c>
      <c r="D216" s="224" t="s">
        <v>299</v>
      </c>
      <c r="E216" s="203" t="s">
        <v>684</v>
      </c>
      <c r="F216" s="302" t="str">
        <f t="shared" si="24"/>
        <v>02/06/24</v>
      </c>
      <c r="G216" s="233">
        <f t="shared" si="27"/>
        <v>24</v>
      </c>
      <c r="H216" t="str">
        <f t="shared" si="26"/>
        <v>Cuarto Menguante</v>
      </c>
      <c r="J216">
        <f t="shared" si="25"/>
        <v>0</v>
      </c>
      <c r="K216" t="str">
        <f t="shared" si="28"/>
        <v>Domingo</v>
      </c>
      <c r="L216" s="203">
        <f t="shared" si="29"/>
        <v>2</v>
      </c>
    </row>
    <row r="217" spans="2:12">
      <c r="B217" s="224" t="s">
        <v>293</v>
      </c>
      <c r="C217" s="203" t="s">
        <v>684</v>
      </c>
      <c r="D217" s="224" t="s">
        <v>299</v>
      </c>
      <c r="E217" s="203" t="s">
        <v>684</v>
      </c>
      <c r="F217" s="302" t="str">
        <f t="shared" si="24"/>
        <v>03/06/24</v>
      </c>
      <c r="G217" s="233">
        <f t="shared" si="27"/>
        <v>25</v>
      </c>
      <c r="H217" t="str">
        <f t="shared" si="26"/>
        <v>Cuarto Menguante</v>
      </c>
      <c r="J217">
        <f t="shared" si="25"/>
        <v>1</v>
      </c>
      <c r="K217" t="str">
        <f t="shared" si="28"/>
        <v>Lunes</v>
      </c>
      <c r="L217" s="203">
        <f t="shared" si="29"/>
        <v>3</v>
      </c>
    </row>
    <row r="218" spans="2:12">
      <c r="B218" s="224" t="s">
        <v>295</v>
      </c>
      <c r="C218" s="203" t="s">
        <v>684</v>
      </c>
      <c r="D218" s="224" t="s">
        <v>299</v>
      </c>
      <c r="E218" s="203" t="s">
        <v>684</v>
      </c>
      <c r="F218" s="302" t="str">
        <f t="shared" si="24"/>
        <v>04/06/24</v>
      </c>
      <c r="G218" s="233">
        <f t="shared" si="27"/>
        <v>26</v>
      </c>
      <c r="H218" t="str">
        <f t="shared" si="26"/>
        <v>Cuarto Menguante</v>
      </c>
      <c r="J218">
        <f t="shared" si="25"/>
        <v>2</v>
      </c>
      <c r="K218" t="str">
        <f t="shared" si="28"/>
        <v>Martes</v>
      </c>
      <c r="L218" s="203">
        <f t="shared" si="29"/>
        <v>4</v>
      </c>
    </row>
    <row r="219" spans="2:12">
      <c r="B219" s="224" t="s">
        <v>297</v>
      </c>
      <c r="C219" s="203" t="s">
        <v>684</v>
      </c>
      <c r="D219" s="224" t="s">
        <v>299</v>
      </c>
      <c r="E219" s="203" t="s">
        <v>684</v>
      </c>
      <c r="F219" s="302" t="str">
        <f t="shared" si="24"/>
        <v>05/06/24</v>
      </c>
      <c r="G219" s="233">
        <f t="shared" si="27"/>
        <v>27</v>
      </c>
      <c r="H219" t="str">
        <f t="shared" si="26"/>
        <v>Cuarto Menguante</v>
      </c>
      <c r="J219">
        <f t="shared" si="25"/>
        <v>3</v>
      </c>
      <c r="K219" t="str">
        <f t="shared" si="28"/>
        <v>Miércoles</v>
      </c>
      <c r="L219" s="203">
        <f t="shared" si="29"/>
        <v>5</v>
      </c>
    </row>
    <row r="220" spans="2:12">
      <c r="B220" s="224" t="s">
        <v>299</v>
      </c>
      <c r="C220" s="203" t="s">
        <v>684</v>
      </c>
      <c r="D220" s="224" t="s">
        <v>299</v>
      </c>
      <c r="E220" s="203" t="s">
        <v>684</v>
      </c>
      <c r="F220" s="302" t="str">
        <f t="shared" si="24"/>
        <v>06/06/24</v>
      </c>
      <c r="G220" s="233">
        <f t="shared" si="27"/>
        <v>28</v>
      </c>
      <c r="H220" t="str">
        <f t="shared" si="26"/>
        <v>Cuarto Menguante</v>
      </c>
      <c r="J220">
        <f t="shared" si="25"/>
        <v>4</v>
      </c>
      <c r="K220" t="str">
        <f t="shared" si="28"/>
        <v>Jueves</v>
      </c>
      <c r="L220" s="203">
        <f t="shared" si="29"/>
        <v>6</v>
      </c>
    </row>
    <row r="221" spans="2:12">
      <c r="B221" s="224" t="s">
        <v>301</v>
      </c>
      <c r="C221" s="203" t="s">
        <v>684</v>
      </c>
      <c r="D221" s="224" t="s">
        <v>299</v>
      </c>
      <c r="E221" s="203" t="s">
        <v>684</v>
      </c>
      <c r="F221" s="302" t="str">
        <f t="shared" si="24"/>
        <v>07/06/24</v>
      </c>
      <c r="G221" s="233">
        <f t="shared" si="27"/>
        <v>29</v>
      </c>
      <c r="H221" t="str">
        <f t="shared" si="26"/>
        <v>Cuarto Menguante</v>
      </c>
      <c r="J221">
        <f t="shared" si="25"/>
        <v>5</v>
      </c>
      <c r="K221" t="str">
        <f t="shared" si="28"/>
        <v>Viernes</v>
      </c>
      <c r="L221" s="203">
        <f t="shared" si="29"/>
        <v>7</v>
      </c>
    </row>
    <row r="222" spans="2:12">
      <c r="B222" s="224" t="s">
        <v>303</v>
      </c>
      <c r="C222" s="203" t="s">
        <v>684</v>
      </c>
      <c r="D222" s="224" t="s">
        <v>299</v>
      </c>
      <c r="E222" s="203" t="s">
        <v>684</v>
      </c>
      <c r="F222" s="302" t="str">
        <f t="shared" si="24"/>
        <v>08/06/24</v>
      </c>
      <c r="G222" s="233">
        <f t="shared" si="27"/>
        <v>0</v>
      </c>
      <c r="H222" t="str">
        <f t="shared" si="26"/>
        <v>Luna Nueva</v>
      </c>
      <c r="J222">
        <f t="shared" si="25"/>
        <v>6</v>
      </c>
      <c r="K222" t="str">
        <f t="shared" si="28"/>
        <v>Sábado</v>
      </c>
      <c r="L222" s="203">
        <f t="shared" si="29"/>
        <v>8</v>
      </c>
    </row>
    <row r="223" spans="2:12">
      <c r="B223" s="224" t="s">
        <v>305</v>
      </c>
      <c r="C223" s="203" t="s">
        <v>684</v>
      </c>
      <c r="D223" s="224" t="s">
        <v>299</v>
      </c>
      <c r="E223" s="203" t="s">
        <v>684</v>
      </c>
      <c r="F223" s="302" t="str">
        <f t="shared" si="24"/>
        <v>09/06/24</v>
      </c>
      <c r="G223" s="233">
        <f t="shared" si="27"/>
        <v>1</v>
      </c>
      <c r="H223" t="str">
        <f t="shared" si="26"/>
        <v>Luna Nueva</v>
      </c>
      <c r="J223">
        <f t="shared" si="25"/>
        <v>0</v>
      </c>
      <c r="K223" t="str">
        <f t="shared" si="28"/>
        <v>Domingo</v>
      </c>
      <c r="L223" s="203">
        <f t="shared" si="29"/>
        <v>9</v>
      </c>
    </row>
    <row r="224" spans="2:12">
      <c r="B224" s="224" t="s">
        <v>307</v>
      </c>
      <c r="C224" s="203" t="s">
        <v>684</v>
      </c>
      <c r="D224" s="224" t="s">
        <v>299</v>
      </c>
      <c r="E224" s="203" t="s">
        <v>684</v>
      </c>
      <c r="F224" s="302" t="str">
        <f t="shared" si="24"/>
        <v>10/06/24</v>
      </c>
      <c r="G224" s="233">
        <f t="shared" si="27"/>
        <v>2</v>
      </c>
      <c r="H224" t="str">
        <f t="shared" si="26"/>
        <v>Luna Nueva</v>
      </c>
      <c r="J224">
        <f t="shared" si="25"/>
        <v>1</v>
      </c>
      <c r="K224" t="str">
        <f t="shared" si="28"/>
        <v>Lunes</v>
      </c>
      <c r="L224" s="203">
        <f t="shared" si="29"/>
        <v>10</v>
      </c>
    </row>
    <row r="225" spans="2:12">
      <c r="B225" s="224" t="s">
        <v>309</v>
      </c>
      <c r="C225" s="203" t="s">
        <v>684</v>
      </c>
      <c r="D225" s="224" t="s">
        <v>299</v>
      </c>
      <c r="E225" s="203" t="s">
        <v>684</v>
      </c>
      <c r="F225" s="302" t="str">
        <f t="shared" si="24"/>
        <v>11/06/24</v>
      </c>
      <c r="G225" s="233">
        <f t="shared" si="27"/>
        <v>3</v>
      </c>
      <c r="H225" t="str">
        <f t="shared" si="26"/>
        <v>Luna Nueva</v>
      </c>
      <c r="J225">
        <f t="shared" si="25"/>
        <v>2</v>
      </c>
      <c r="K225" t="str">
        <f t="shared" si="28"/>
        <v>Martes</v>
      </c>
      <c r="L225" s="203">
        <f t="shared" si="29"/>
        <v>11</v>
      </c>
    </row>
    <row r="226" spans="2:12">
      <c r="B226" s="224" t="s">
        <v>311</v>
      </c>
      <c r="C226" s="203" t="s">
        <v>684</v>
      </c>
      <c r="D226" s="224" t="s">
        <v>299</v>
      </c>
      <c r="E226" s="203" t="s">
        <v>684</v>
      </c>
      <c r="F226" s="302" t="str">
        <f t="shared" si="24"/>
        <v>12/06/24</v>
      </c>
      <c r="G226" s="233">
        <f t="shared" si="27"/>
        <v>4</v>
      </c>
      <c r="H226" t="str">
        <f t="shared" si="26"/>
        <v>Luna Nueva</v>
      </c>
      <c r="J226">
        <f t="shared" si="25"/>
        <v>3</v>
      </c>
      <c r="K226" t="str">
        <f t="shared" si="28"/>
        <v>Miércoles</v>
      </c>
      <c r="L226" s="203">
        <f t="shared" si="29"/>
        <v>12</v>
      </c>
    </row>
    <row r="227" spans="2:12">
      <c r="B227" s="224" t="s">
        <v>688</v>
      </c>
      <c r="C227" s="203" t="s">
        <v>684</v>
      </c>
      <c r="D227" s="224" t="s">
        <v>299</v>
      </c>
      <c r="E227" s="203" t="s">
        <v>684</v>
      </c>
      <c r="F227" s="302" t="str">
        <f t="shared" si="24"/>
        <v>13/06/24</v>
      </c>
      <c r="G227" s="233">
        <f t="shared" si="27"/>
        <v>5</v>
      </c>
      <c r="H227" t="str">
        <f t="shared" si="26"/>
        <v>Luna Nueva</v>
      </c>
      <c r="J227">
        <f t="shared" si="25"/>
        <v>4</v>
      </c>
      <c r="K227" t="str">
        <f t="shared" si="28"/>
        <v>Jueves</v>
      </c>
      <c r="L227" s="203">
        <f t="shared" si="29"/>
        <v>13</v>
      </c>
    </row>
    <row r="228" spans="2:12">
      <c r="B228" s="224" t="s">
        <v>689</v>
      </c>
      <c r="C228" s="203" t="s">
        <v>684</v>
      </c>
      <c r="D228" s="224" t="s">
        <v>299</v>
      </c>
      <c r="E228" s="203" t="s">
        <v>684</v>
      </c>
      <c r="F228" s="302" t="str">
        <f t="shared" si="24"/>
        <v>14/06/24</v>
      </c>
      <c r="G228" s="233">
        <f t="shared" si="27"/>
        <v>6</v>
      </c>
      <c r="H228" t="str">
        <f t="shared" si="26"/>
        <v>Cuarto Creciente</v>
      </c>
      <c r="J228">
        <f t="shared" si="25"/>
        <v>5</v>
      </c>
      <c r="K228" t="str">
        <f t="shared" si="28"/>
        <v>Viernes</v>
      </c>
      <c r="L228" s="203">
        <f t="shared" si="29"/>
        <v>14</v>
      </c>
    </row>
    <row r="229" spans="2:12">
      <c r="B229" s="224" t="s">
        <v>690</v>
      </c>
      <c r="C229" s="203" t="s">
        <v>684</v>
      </c>
      <c r="D229" s="224" t="s">
        <v>299</v>
      </c>
      <c r="E229" s="203" t="s">
        <v>684</v>
      </c>
      <c r="F229" s="302" t="str">
        <f t="shared" si="24"/>
        <v>15/06/24</v>
      </c>
      <c r="G229" s="233">
        <f t="shared" si="27"/>
        <v>7</v>
      </c>
      <c r="H229" t="str">
        <f t="shared" si="26"/>
        <v>Cuarto Creciente</v>
      </c>
      <c r="J229">
        <f t="shared" si="25"/>
        <v>6</v>
      </c>
      <c r="K229" t="str">
        <f t="shared" si="28"/>
        <v>Sábado</v>
      </c>
      <c r="L229" s="203">
        <f t="shared" si="29"/>
        <v>15</v>
      </c>
    </row>
    <row r="230" spans="2:12">
      <c r="B230" s="224" t="s">
        <v>692</v>
      </c>
      <c r="C230" s="203" t="s">
        <v>684</v>
      </c>
      <c r="D230" s="224" t="s">
        <v>299</v>
      </c>
      <c r="E230" s="203" t="s">
        <v>684</v>
      </c>
      <c r="F230" s="302" t="str">
        <f t="shared" si="24"/>
        <v>16/06/24</v>
      </c>
      <c r="G230" s="233">
        <f t="shared" si="27"/>
        <v>8</v>
      </c>
      <c r="H230" t="str">
        <f t="shared" si="26"/>
        <v>Cuarto Creciente</v>
      </c>
      <c r="J230">
        <f t="shared" si="25"/>
        <v>0</v>
      </c>
      <c r="K230" t="str">
        <f t="shared" si="28"/>
        <v>Domingo</v>
      </c>
      <c r="L230" s="203">
        <f t="shared" si="29"/>
        <v>16</v>
      </c>
    </row>
    <row r="231" spans="2:12">
      <c r="B231" s="224" t="s">
        <v>693</v>
      </c>
      <c r="C231" s="203" t="s">
        <v>684</v>
      </c>
      <c r="D231" s="224" t="s">
        <v>299</v>
      </c>
      <c r="E231" s="203" t="s">
        <v>684</v>
      </c>
      <c r="F231" s="302" t="str">
        <f t="shared" si="24"/>
        <v>17/06/24</v>
      </c>
      <c r="G231" s="233">
        <f t="shared" si="27"/>
        <v>9</v>
      </c>
      <c r="H231" t="str">
        <f t="shared" si="26"/>
        <v>Cuarto Creciente</v>
      </c>
      <c r="J231">
        <f t="shared" si="25"/>
        <v>1</v>
      </c>
      <c r="K231" t="str">
        <f t="shared" si="28"/>
        <v>Lunes</v>
      </c>
      <c r="L231" s="203">
        <f t="shared" si="29"/>
        <v>17</v>
      </c>
    </row>
    <row r="232" spans="2:12">
      <c r="B232" s="224" t="s">
        <v>695</v>
      </c>
      <c r="C232" s="203" t="s">
        <v>684</v>
      </c>
      <c r="D232" s="224" t="s">
        <v>299</v>
      </c>
      <c r="E232" s="203" t="s">
        <v>684</v>
      </c>
      <c r="F232" s="302" t="str">
        <f t="shared" si="24"/>
        <v>18/06/24</v>
      </c>
      <c r="G232" s="233">
        <f t="shared" si="27"/>
        <v>10</v>
      </c>
      <c r="H232" t="str">
        <f t="shared" si="26"/>
        <v>Cuarto Creciente</v>
      </c>
      <c r="J232">
        <f t="shared" si="25"/>
        <v>2</v>
      </c>
      <c r="K232" t="str">
        <f t="shared" si="28"/>
        <v>Martes</v>
      </c>
      <c r="L232" s="203">
        <f t="shared" si="29"/>
        <v>18</v>
      </c>
    </row>
    <row r="233" spans="2:12">
      <c r="B233" s="224" t="s">
        <v>697</v>
      </c>
      <c r="C233" s="203" t="s">
        <v>684</v>
      </c>
      <c r="D233" s="224" t="s">
        <v>299</v>
      </c>
      <c r="E233" s="203" t="s">
        <v>684</v>
      </c>
      <c r="F233" s="302" t="str">
        <f t="shared" si="24"/>
        <v>19/06/24</v>
      </c>
      <c r="G233" s="233">
        <f t="shared" si="27"/>
        <v>11</v>
      </c>
      <c r="H233" t="str">
        <f t="shared" si="26"/>
        <v>Cuarto Creciente</v>
      </c>
      <c r="J233">
        <f t="shared" si="25"/>
        <v>3</v>
      </c>
      <c r="K233" t="str">
        <f t="shared" si="28"/>
        <v>Miércoles</v>
      </c>
      <c r="L233" s="203">
        <f t="shared" si="29"/>
        <v>19</v>
      </c>
    </row>
    <row r="234" spans="2:12">
      <c r="B234" s="224" t="s">
        <v>698</v>
      </c>
      <c r="C234" s="203" t="s">
        <v>684</v>
      </c>
      <c r="D234" s="224" t="s">
        <v>299</v>
      </c>
      <c r="E234" s="203" t="s">
        <v>684</v>
      </c>
      <c r="F234" s="302" t="str">
        <f t="shared" si="24"/>
        <v>20/06/24</v>
      </c>
      <c r="G234" s="233">
        <f t="shared" si="27"/>
        <v>12</v>
      </c>
      <c r="H234" t="str">
        <f t="shared" si="26"/>
        <v>Cuarto Creciente</v>
      </c>
      <c r="J234">
        <f t="shared" si="25"/>
        <v>4</v>
      </c>
      <c r="K234" t="str">
        <f t="shared" si="28"/>
        <v>Jueves</v>
      </c>
      <c r="L234" s="203">
        <f t="shared" si="29"/>
        <v>20</v>
      </c>
    </row>
    <row r="235" spans="2:12">
      <c r="B235" s="224" t="s">
        <v>699</v>
      </c>
      <c r="C235" s="203" t="s">
        <v>684</v>
      </c>
      <c r="D235" s="224" t="s">
        <v>299</v>
      </c>
      <c r="E235" s="203" t="s">
        <v>684</v>
      </c>
      <c r="F235" s="302" t="str">
        <f t="shared" si="24"/>
        <v>21/06/24</v>
      </c>
      <c r="G235" s="233">
        <f t="shared" si="27"/>
        <v>13</v>
      </c>
      <c r="H235" t="str">
        <f t="shared" si="26"/>
        <v>Cuarto Creciente</v>
      </c>
      <c r="J235">
        <f t="shared" si="25"/>
        <v>5</v>
      </c>
      <c r="K235" t="str">
        <f t="shared" si="28"/>
        <v>Viernes</v>
      </c>
      <c r="L235" s="203">
        <f t="shared" si="29"/>
        <v>21</v>
      </c>
    </row>
    <row r="236" spans="2:12">
      <c r="B236" s="224" t="s">
        <v>700</v>
      </c>
      <c r="C236" s="203" t="s">
        <v>684</v>
      </c>
      <c r="D236" s="224" t="s">
        <v>299</v>
      </c>
      <c r="E236" s="203" t="s">
        <v>684</v>
      </c>
      <c r="F236" s="302" t="str">
        <f t="shared" si="24"/>
        <v>22/06/24</v>
      </c>
      <c r="G236" s="233">
        <f t="shared" si="27"/>
        <v>14</v>
      </c>
      <c r="H236" t="str">
        <f t="shared" si="26"/>
        <v>Luna Llena</v>
      </c>
      <c r="J236">
        <f t="shared" si="25"/>
        <v>6</v>
      </c>
      <c r="K236" t="str">
        <f t="shared" si="28"/>
        <v>Sábado</v>
      </c>
      <c r="L236" s="203">
        <f t="shared" si="29"/>
        <v>22</v>
      </c>
    </row>
    <row r="237" spans="2:12">
      <c r="B237" s="224" t="s">
        <v>702</v>
      </c>
      <c r="C237" s="203" t="s">
        <v>684</v>
      </c>
      <c r="D237" s="224" t="s">
        <v>299</v>
      </c>
      <c r="E237" s="203" t="s">
        <v>684</v>
      </c>
      <c r="F237" s="302" t="str">
        <f t="shared" si="24"/>
        <v>23/06/24</v>
      </c>
      <c r="G237" s="233">
        <f t="shared" si="27"/>
        <v>15</v>
      </c>
      <c r="H237" t="str">
        <f t="shared" si="26"/>
        <v>Luna Llena</v>
      </c>
      <c r="J237">
        <f t="shared" si="25"/>
        <v>0</v>
      </c>
      <c r="K237" t="str">
        <f t="shared" si="28"/>
        <v>Domingo</v>
      </c>
      <c r="L237" s="203">
        <f t="shared" si="29"/>
        <v>23</v>
      </c>
    </row>
    <row r="238" spans="2:12">
      <c r="B238" s="224" t="s">
        <v>703</v>
      </c>
      <c r="C238" s="203" t="s">
        <v>684</v>
      </c>
      <c r="D238" s="224" t="s">
        <v>299</v>
      </c>
      <c r="E238" s="203" t="s">
        <v>684</v>
      </c>
      <c r="F238" s="302" t="str">
        <f t="shared" si="24"/>
        <v>24/06/24</v>
      </c>
      <c r="G238" s="233">
        <f t="shared" si="27"/>
        <v>16</v>
      </c>
      <c r="H238" t="str">
        <f t="shared" si="26"/>
        <v>Luna Llena</v>
      </c>
      <c r="J238">
        <f t="shared" si="25"/>
        <v>1</v>
      </c>
      <c r="K238" t="str">
        <f t="shared" si="28"/>
        <v>Lunes</v>
      </c>
      <c r="L238" s="203">
        <f t="shared" si="29"/>
        <v>24</v>
      </c>
    </row>
    <row r="239" spans="2:12">
      <c r="B239" s="224" t="s">
        <v>704</v>
      </c>
      <c r="C239" s="203" t="s">
        <v>684</v>
      </c>
      <c r="D239" s="224" t="s">
        <v>299</v>
      </c>
      <c r="E239" s="203" t="s">
        <v>684</v>
      </c>
      <c r="F239" s="302" t="str">
        <f t="shared" si="24"/>
        <v>25/06/24</v>
      </c>
      <c r="G239" s="233">
        <f t="shared" si="27"/>
        <v>17</v>
      </c>
      <c r="H239" t="str">
        <f t="shared" si="26"/>
        <v>Luna Llena</v>
      </c>
      <c r="J239">
        <f t="shared" si="25"/>
        <v>2</v>
      </c>
      <c r="K239" t="str">
        <f t="shared" si="28"/>
        <v>Martes</v>
      </c>
      <c r="L239" s="203">
        <f t="shared" si="29"/>
        <v>25</v>
      </c>
    </row>
    <row r="240" spans="2:12">
      <c r="B240" s="224" t="s">
        <v>705</v>
      </c>
      <c r="C240" s="203" t="s">
        <v>684</v>
      </c>
      <c r="D240" s="224" t="s">
        <v>299</v>
      </c>
      <c r="E240" s="203" t="s">
        <v>684</v>
      </c>
      <c r="F240" s="302" t="str">
        <f t="shared" si="24"/>
        <v>26/06/24</v>
      </c>
      <c r="G240" s="233">
        <f t="shared" si="27"/>
        <v>18</v>
      </c>
      <c r="H240" t="str">
        <f t="shared" si="26"/>
        <v>Luna Llena</v>
      </c>
      <c r="J240">
        <f t="shared" si="25"/>
        <v>3</v>
      </c>
      <c r="K240" t="str">
        <f t="shared" si="28"/>
        <v>Miércoles</v>
      </c>
      <c r="L240" s="203">
        <f t="shared" si="29"/>
        <v>26</v>
      </c>
    </row>
    <row r="241" spans="2:12">
      <c r="B241" s="224" t="s">
        <v>706</v>
      </c>
      <c r="C241" s="203" t="s">
        <v>684</v>
      </c>
      <c r="D241" s="224" t="s">
        <v>299</v>
      </c>
      <c r="E241" s="203" t="s">
        <v>684</v>
      </c>
      <c r="F241" s="302" t="str">
        <f t="shared" si="24"/>
        <v>27/06/24</v>
      </c>
      <c r="G241" s="233">
        <f t="shared" si="27"/>
        <v>19</v>
      </c>
      <c r="H241" t="str">
        <f t="shared" si="26"/>
        <v>Luna Llena</v>
      </c>
      <c r="J241">
        <f t="shared" si="25"/>
        <v>4</v>
      </c>
      <c r="K241" t="str">
        <f t="shared" si="28"/>
        <v>Jueves</v>
      </c>
      <c r="L241" s="203">
        <f t="shared" si="29"/>
        <v>27</v>
      </c>
    </row>
    <row r="242" spans="2:12">
      <c r="B242" s="224" t="s">
        <v>708</v>
      </c>
      <c r="C242" s="203" t="s">
        <v>684</v>
      </c>
      <c r="D242" s="224" t="s">
        <v>299</v>
      </c>
      <c r="E242" s="203" t="s">
        <v>684</v>
      </c>
      <c r="F242" s="302" t="str">
        <f t="shared" si="24"/>
        <v>28/06/24</v>
      </c>
      <c r="G242" s="233">
        <f t="shared" si="27"/>
        <v>20</v>
      </c>
      <c r="H242" t="str">
        <f t="shared" si="26"/>
        <v>Luna Llena</v>
      </c>
      <c r="J242">
        <f t="shared" si="25"/>
        <v>5</v>
      </c>
      <c r="K242" t="str">
        <f t="shared" si="28"/>
        <v>Viernes</v>
      </c>
      <c r="L242" s="203">
        <f t="shared" si="29"/>
        <v>28</v>
      </c>
    </row>
    <row r="243" spans="2:12">
      <c r="B243" s="224">
        <v>29</v>
      </c>
      <c r="C243" s="203" t="s">
        <v>684</v>
      </c>
      <c r="D243" s="224" t="s">
        <v>299</v>
      </c>
      <c r="E243" s="203" t="s">
        <v>684</v>
      </c>
      <c r="F243" s="302" t="str">
        <f t="shared" si="24"/>
        <v>29/06/24</v>
      </c>
      <c r="G243" s="233">
        <f t="shared" si="27"/>
        <v>21</v>
      </c>
      <c r="H243" t="str">
        <f t="shared" si="26"/>
        <v>Cuarto Menguante</v>
      </c>
      <c r="J243">
        <f t="shared" si="25"/>
        <v>6</v>
      </c>
      <c r="K243" t="str">
        <f t="shared" si="28"/>
        <v>Sábado</v>
      </c>
      <c r="L243" s="203">
        <f t="shared" si="29"/>
        <v>29</v>
      </c>
    </row>
    <row r="244" spans="2:12">
      <c r="B244" s="224">
        <v>30</v>
      </c>
      <c r="C244" s="203" t="s">
        <v>684</v>
      </c>
      <c r="D244" s="224" t="s">
        <v>299</v>
      </c>
      <c r="E244" s="203" t="s">
        <v>684</v>
      </c>
      <c r="F244" s="302" t="str">
        <f t="shared" si="24"/>
        <v>30/06/24</v>
      </c>
      <c r="G244" s="233">
        <f t="shared" si="27"/>
        <v>22</v>
      </c>
      <c r="H244" t="str">
        <f t="shared" si="26"/>
        <v>Cuarto Menguante</v>
      </c>
      <c r="J244">
        <f t="shared" si="25"/>
        <v>0</v>
      </c>
      <c r="K244" t="str">
        <f t="shared" si="28"/>
        <v>Domingo</v>
      </c>
      <c r="L244" s="203">
        <f t="shared" si="29"/>
        <v>30</v>
      </c>
    </row>
    <row r="245" spans="2:12">
      <c r="B245" s="224" t="s">
        <v>289</v>
      </c>
      <c r="C245" s="203" t="s">
        <v>684</v>
      </c>
      <c r="D245" s="224" t="s">
        <v>301</v>
      </c>
      <c r="E245" s="203" t="s">
        <v>684</v>
      </c>
      <c r="F245" s="302" t="str">
        <f t="shared" si="24"/>
        <v>01/07/24</v>
      </c>
      <c r="G245" s="233">
        <f t="shared" si="27"/>
        <v>24</v>
      </c>
      <c r="H245" t="str">
        <f t="shared" si="26"/>
        <v>Cuarto Menguante</v>
      </c>
      <c r="J245">
        <f t="shared" si="25"/>
        <v>1</v>
      </c>
      <c r="K245" t="str">
        <f t="shared" si="28"/>
        <v>Lunes</v>
      </c>
      <c r="L245" s="203">
        <f t="shared" si="29"/>
        <v>1</v>
      </c>
    </row>
    <row r="246" spans="2:12">
      <c r="B246" s="224" t="s">
        <v>291</v>
      </c>
      <c r="C246" s="203" t="s">
        <v>684</v>
      </c>
      <c r="D246" s="224" t="s">
        <v>301</v>
      </c>
      <c r="E246" s="203" t="s">
        <v>684</v>
      </c>
      <c r="F246" s="302" t="str">
        <f t="shared" si="24"/>
        <v>02/07/24</v>
      </c>
      <c r="G246" s="233">
        <f t="shared" si="27"/>
        <v>25</v>
      </c>
      <c r="H246" t="str">
        <f t="shared" si="26"/>
        <v>Cuarto Menguante</v>
      </c>
      <c r="J246">
        <f t="shared" si="25"/>
        <v>2</v>
      </c>
      <c r="K246" t="str">
        <f t="shared" si="28"/>
        <v>Martes</v>
      </c>
      <c r="L246" s="203">
        <f t="shared" si="29"/>
        <v>2</v>
      </c>
    </row>
    <row r="247" spans="2:12">
      <c r="B247" s="224" t="s">
        <v>293</v>
      </c>
      <c r="C247" s="203" t="s">
        <v>684</v>
      </c>
      <c r="D247" s="224" t="s">
        <v>301</v>
      </c>
      <c r="E247" s="203" t="s">
        <v>684</v>
      </c>
      <c r="F247" s="302" t="str">
        <f t="shared" si="24"/>
        <v>03/07/24</v>
      </c>
      <c r="G247" s="233">
        <f t="shared" si="27"/>
        <v>26</v>
      </c>
      <c r="H247" t="str">
        <f t="shared" si="26"/>
        <v>Cuarto Menguante</v>
      </c>
      <c r="J247">
        <f t="shared" si="25"/>
        <v>3</v>
      </c>
      <c r="K247" t="str">
        <f t="shared" si="28"/>
        <v>Miércoles</v>
      </c>
      <c r="L247" s="203">
        <f t="shared" si="29"/>
        <v>3</v>
      </c>
    </row>
    <row r="248" spans="2:12">
      <c r="B248" s="224" t="s">
        <v>295</v>
      </c>
      <c r="C248" s="203" t="s">
        <v>684</v>
      </c>
      <c r="D248" s="224" t="s">
        <v>301</v>
      </c>
      <c r="E248" s="203" t="s">
        <v>684</v>
      </c>
      <c r="F248" s="302" t="str">
        <f t="shared" si="24"/>
        <v>04/07/24</v>
      </c>
      <c r="G248" s="233">
        <f t="shared" si="27"/>
        <v>27</v>
      </c>
      <c r="H248" t="str">
        <f t="shared" si="26"/>
        <v>Cuarto Menguante</v>
      </c>
      <c r="J248">
        <f t="shared" si="25"/>
        <v>4</v>
      </c>
      <c r="K248" t="str">
        <f t="shared" si="28"/>
        <v>Jueves</v>
      </c>
      <c r="L248" s="203">
        <f t="shared" si="29"/>
        <v>4</v>
      </c>
    </row>
    <row r="249" spans="2:12">
      <c r="B249" s="224" t="s">
        <v>297</v>
      </c>
      <c r="C249" s="203" t="s">
        <v>684</v>
      </c>
      <c r="D249" s="224" t="s">
        <v>301</v>
      </c>
      <c r="E249" s="203" t="s">
        <v>684</v>
      </c>
      <c r="F249" s="302" t="str">
        <f t="shared" si="24"/>
        <v>05/07/24</v>
      </c>
      <c r="G249" s="233">
        <f t="shared" si="27"/>
        <v>28</v>
      </c>
      <c r="H249" t="str">
        <f t="shared" si="26"/>
        <v>Cuarto Menguante</v>
      </c>
      <c r="J249">
        <f t="shared" si="25"/>
        <v>5</v>
      </c>
      <c r="K249" t="str">
        <f t="shared" si="28"/>
        <v>Viernes</v>
      </c>
      <c r="L249" s="203">
        <f t="shared" si="29"/>
        <v>5</v>
      </c>
    </row>
    <row r="250" spans="2:12">
      <c r="B250" s="224" t="s">
        <v>299</v>
      </c>
      <c r="C250" s="203" t="s">
        <v>684</v>
      </c>
      <c r="D250" s="224" t="s">
        <v>301</v>
      </c>
      <c r="E250" s="203" t="s">
        <v>684</v>
      </c>
      <c r="F250" s="302" t="str">
        <f t="shared" si="24"/>
        <v>06/07/24</v>
      </c>
      <c r="G250" s="233">
        <f t="shared" si="27"/>
        <v>29</v>
      </c>
      <c r="H250" t="str">
        <f t="shared" si="26"/>
        <v>Cuarto Menguante</v>
      </c>
      <c r="J250">
        <f t="shared" si="25"/>
        <v>6</v>
      </c>
      <c r="K250" t="str">
        <f t="shared" si="28"/>
        <v>Sábado</v>
      </c>
      <c r="L250" s="203">
        <f t="shared" si="29"/>
        <v>6</v>
      </c>
    </row>
    <row r="251" spans="2:12">
      <c r="B251" s="224" t="s">
        <v>301</v>
      </c>
      <c r="C251" s="203" t="s">
        <v>684</v>
      </c>
      <c r="D251" s="224" t="s">
        <v>301</v>
      </c>
      <c r="E251" s="203" t="s">
        <v>684</v>
      </c>
      <c r="F251" s="302" t="str">
        <f t="shared" ref="F251:F314" si="30">CONCATENATE(B251,C251,D251,E251,$E$37)</f>
        <v>07/07/24</v>
      </c>
      <c r="G251" s="233">
        <f t="shared" si="27"/>
        <v>0</v>
      </c>
      <c r="H251" t="str">
        <f t="shared" si="26"/>
        <v>Luna Nueva</v>
      </c>
      <c r="J251">
        <f t="shared" si="25"/>
        <v>0</v>
      </c>
      <c r="K251" t="str">
        <f t="shared" si="28"/>
        <v>Domingo</v>
      </c>
      <c r="L251" s="203">
        <f t="shared" si="29"/>
        <v>7</v>
      </c>
    </row>
    <row r="252" spans="2:12">
      <c r="B252" s="224" t="s">
        <v>303</v>
      </c>
      <c r="C252" s="203" t="s">
        <v>684</v>
      </c>
      <c r="D252" s="224" t="s">
        <v>301</v>
      </c>
      <c r="E252" s="203" t="s">
        <v>684</v>
      </c>
      <c r="F252" s="302" t="str">
        <f t="shared" si="30"/>
        <v>08/07/24</v>
      </c>
      <c r="G252" s="233">
        <f t="shared" si="27"/>
        <v>1</v>
      </c>
      <c r="H252" t="str">
        <f t="shared" si="26"/>
        <v>Luna Nueva</v>
      </c>
      <c r="J252">
        <f t="shared" si="25"/>
        <v>1</v>
      </c>
      <c r="K252" t="str">
        <f t="shared" si="28"/>
        <v>Lunes</v>
      </c>
      <c r="L252" s="203">
        <f t="shared" si="29"/>
        <v>8</v>
      </c>
    </row>
    <row r="253" spans="2:12">
      <c r="B253" s="224" t="s">
        <v>305</v>
      </c>
      <c r="C253" s="203" t="s">
        <v>684</v>
      </c>
      <c r="D253" s="224" t="s">
        <v>301</v>
      </c>
      <c r="E253" s="203" t="s">
        <v>684</v>
      </c>
      <c r="F253" s="302" t="str">
        <f t="shared" si="30"/>
        <v>09/07/24</v>
      </c>
      <c r="G253" s="233">
        <f t="shared" si="27"/>
        <v>2</v>
      </c>
      <c r="H253" t="str">
        <f t="shared" si="26"/>
        <v>Luna Nueva</v>
      </c>
      <c r="J253">
        <f t="shared" ref="J253:J316" si="31">IF(J252&lt;6,J252+1,0)</f>
        <v>2</v>
      </c>
      <c r="K253" t="str">
        <f t="shared" si="28"/>
        <v>Martes</v>
      </c>
      <c r="L253" s="203">
        <f t="shared" si="29"/>
        <v>9</v>
      </c>
    </row>
    <row r="254" spans="2:12">
      <c r="B254" s="224" t="s">
        <v>307</v>
      </c>
      <c r="C254" s="203" t="s">
        <v>684</v>
      </c>
      <c r="D254" s="224" t="s">
        <v>301</v>
      </c>
      <c r="E254" s="203" t="s">
        <v>684</v>
      </c>
      <c r="F254" s="302" t="str">
        <f t="shared" si="30"/>
        <v>10/07/24</v>
      </c>
      <c r="G254" s="233">
        <f t="shared" si="27"/>
        <v>3</v>
      </c>
      <c r="H254" t="str">
        <f t="shared" si="26"/>
        <v>Luna Nueva</v>
      </c>
      <c r="J254">
        <f t="shared" si="31"/>
        <v>3</v>
      </c>
      <c r="K254" t="str">
        <f t="shared" si="28"/>
        <v>Miércoles</v>
      </c>
      <c r="L254" s="203">
        <f t="shared" si="29"/>
        <v>10</v>
      </c>
    </row>
    <row r="255" spans="2:12">
      <c r="B255" s="224" t="s">
        <v>309</v>
      </c>
      <c r="C255" s="203" t="s">
        <v>684</v>
      </c>
      <c r="D255" s="224" t="s">
        <v>301</v>
      </c>
      <c r="E255" s="203" t="s">
        <v>684</v>
      </c>
      <c r="F255" s="302" t="str">
        <f t="shared" si="30"/>
        <v>11/07/24</v>
      </c>
      <c r="G255" s="233">
        <f t="shared" si="27"/>
        <v>4</v>
      </c>
      <c r="H255" t="str">
        <f t="shared" ref="H255:H318" si="32">VLOOKUP(G255,$J$32:$K$61,2)</f>
        <v>Luna Nueva</v>
      </c>
      <c r="J255">
        <f t="shared" si="31"/>
        <v>4</v>
      </c>
      <c r="K255" t="str">
        <f t="shared" si="28"/>
        <v>Jueves</v>
      </c>
      <c r="L255" s="203">
        <f t="shared" si="29"/>
        <v>11</v>
      </c>
    </row>
    <row r="256" spans="2:12">
      <c r="B256" s="224" t="s">
        <v>311</v>
      </c>
      <c r="C256" s="203" t="s">
        <v>684</v>
      </c>
      <c r="D256" s="224" t="s">
        <v>301</v>
      </c>
      <c r="E256" s="203" t="s">
        <v>684</v>
      </c>
      <c r="F256" s="302" t="str">
        <f t="shared" si="30"/>
        <v>12/07/24</v>
      </c>
      <c r="G256" s="233">
        <f t="shared" ref="G256:G319" si="33">MOD($A$69+B256+VLOOKUP(MONTH(F256),$B$35:$D$46,3),30)</f>
        <v>5</v>
      </c>
      <c r="H256" t="str">
        <f t="shared" si="32"/>
        <v>Luna Nueva</v>
      </c>
      <c r="J256">
        <f t="shared" si="31"/>
        <v>5</v>
      </c>
      <c r="K256" t="str">
        <f t="shared" ref="K256:K319" si="34">VLOOKUP(J256,$H$45:$I$52,2)</f>
        <v>Viernes</v>
      </c>
      <c r="L256" s="203">
        <f t="shared" ref="L256:L319" si="35">VALUE(LEFT(F256,2))</f>
        <v>12</v>
      </c>
    </row>
    <row r="257" spans="2:12">
      <c r="B257" s="224" t="s">
        <v>688</v>
      </c>
      <c r="C257" s="203" t="s">
        <v>684</v>
      </c>
      <c r="D257" s="224" t="s">
        <v>301</v>
      </c>
      <c r="E257" s="203" t="s">
        <v>684</v>
      </c>
      <c r="F257" s="302" t="str">
        <f t="shared" si="30"/>
        <v>13/07/24</v>
      </c>
      <c r="G257" s="233">
        <f t="shared" si="33"/>
        <v>6</v>
      </c>
      <c r="H257" t="str">
        <f t="shared" si="32"/>
        <v>Cuarto Creciente</v>
      </c>
      <c r="J257">
        <f t="shared" si="31"/>
        <v>6</v>
      </c>
      <c r="K257" t="str">
        <f t="shared" si="34"/>
        <v>Sábado</v>
      </c>
      <c r="L257" s="203">
        <f t="shared" si="35"/>
        <v>13</v>
      </c>
    </row>
    <row r="258" spans="2:12">
      <c r="B258" s="224" t="s">
        <v>689</v>
      </c>
      <c r="C258" s="203" t="s">
        <v>684</v>
      </c>
      <c r="D258" s="224" t="s">
        <v>301</v>
      </c>
      <c r="E258" s="203" t="s">
        <v>684</v>
      </c>
      <c r="F258" s="302" t="str">
        <f t="shared" si="30"/>
        <v>14/07/24</v>
      </c>
      <c r="G258" s="233">
        <f t="shared" si="33"/>
        <v>7</v>
      </c>
      <c r="H258" t="str">
        <f t="shared" si="32"/>
        <v>Cuarto Creciente</v>
      </c>
      <c r="J258">
        <f t="shared" si="31"/>
        <v>0</v>
      </c>
      <c r="K258" t="str">
        <f t="shared" si="34"/>
        <v>Domingo</v>
      </c>
      <c r="L258" s="203">
        <f t="shared" si="35"/>
        <v>14</v>
      </c>
    </row>
    <row r="259" spans="2:12">
      <c r="B259" s="224" t="s">
        <v>690</v>
      </c>
      <c r="C259" s="203" t="s">
        <v>684</v>
      </c>
      <c r="D259" s="224" t="s">
        <v>301</v>
      </c>
      <c r="E259" s="203" t="s">
        <v>684</v>
      </c>
      <c r="F259" s="302" t="str">
        <f t="shared" si="30"/>
        <v>15/07/24</v>
      </c>
      <c r="G259" s="233">
        <f t="shared" si="33"/>
        <v>8</v>
      </c>
      <c r="H259" t="str">
        <f t="shared" si="32"/>
        <v>Cuarto Creciente</v>
      </c>
      <c r="J259">
        <f t="shared" si="31"/>
        <v>1</v>
      </c>
      <c r="K259" t="str">
        <f t="shared" si="34"/>
        <v>Lunes</v>
      </c>
      <c r="L259" s="203">
        <f t="shared" si="35"/>
        <v>15</v>
      </c>
    </row>
    <row r="260" spans="2:12">
      <c r="B260" s="224" t="s">
        <v>692</v>
      </c>
      <c r="C260" s="203" t="s">
        <v>684</v>
      </c>
      <c r="D260" s="224" t="s">
        <v>301</v>
      </c>
      <c r="E260" s="203" t="s">
        <v>684</v>
      </c>
      <c r="F260" s="302" t="str">
        <f t="shared" si="30"/>
        <v>16/07/24</v>
      </c>
      <c r="G260" s="233">
        <f t="shared" si="33"/>
        <v>9</v>
      </c>
      <c r="H260" t="str">
        <f t="shared" si="32"/>
        <v>Cuarto Creciente</v>
      </c>
      <c r="J260">
        <f t="shared" si="31"/>
        <v>2</v>
      </c>
      <c r="K260" t="str">
        <f t="shared" si="34"/>
        <v>Martes</v>
      </c>
      <c r="L260" s="203">
        <f t="shared" si="35"/>
        <v>16</v>
      </c>
    </row>
    <row r="261" spans="2:12">
      <c r="B261" s="224" t="s">
        <v>693</v>
      </c>
      <c r="C261" s="203" t="s">
        <v>684</v>
      </c>
      <c r="D261" s="224" t="s">
        <v>301</v>
      </c>
      <c r="E261" s="203" t="s">
        <v>684</v>
      </c>
      <c r="F261" s="302" t="str">
        <f t="shared" si="30"/>
        <v>17/07/24</v>
      </c>
      <c r="G261" s="233">
        <f t="shared" si="33"/>
        <v>10</v>
      </c>
      <c r="H261" t="str">
        <f t="shared" si="32"/>
        <v>Cuarto Creciente</v>
      </c>
      <c r="J261">
        <f t="shared" si="31"/>
        <v>3</v>
      </c>
      <c r="K261" t="str">
        <f t="shared" si="34"/>
        <v>Miércoles</v>
      </c>
      <c r="L261" s="203">
        <f t="shared" si="35"/>
        <v>17</v>
      </c>
    </row>
    <row r="262" spans="2:12">
      <c r="B262" s="224" t="s">
        <v>695</v>
      </c>
      <c r="C262" s="203" t="s">
        <v>684</v>
      </c>
      <c r="D262" s="224" t="s">
        <v>301</v>
      </c>
      <c r="E262" s="203" t="s">
        <v>684</v>
      </c>
      <c r="F262" s="302" t="str">
        <f t="shared" si="30"/>
        <v>18/07/24</v>
      </c>
      <c r="G262" s="233">
        <f t="shared" si="33"/>
        <v>11</v>
      </c>
      <c r="H262" t="str">
        <f t="shared" si="32"/>
        <v>Cuarto Creciente</v>
      </c>
      <c r="J262">
        <f t="shared" si="31"/>
        <v>4</v>
      </c>
      <c r="K262" t="str">
        <f t="shared" si="34"/>
        <v>Jueves</v>
      </c>
      <c r="L262" s="203">
        <f t="shared" si="35"/>
        <v>18</v>
      </c>
    </row>
    <row r="263" spans="2:12">
      <c r="B263" s="224" t="s">
        <v>697</v>
      </c>
      <c r="C263" s="203" t="s">
        <v>684</v>
      </c>
      <c r="D263" s="224" t="s">
        <v>301</v>
      </c>
      <c r="E263" s="203" t="s">
        <v>684</v>
      </c>
      <c r="F263" s="302" t="str">
        <f t="shared" si="30"/>
        <v>19/07/24</v>
      </c>
      <c r="G263" s="233">
        <f t="shared" si="33"/>
        <v>12</v>
      </c>
      <c r="H263" t="str">
        <f t="shared" si="32"/>
        <v>Cuarto Creciente</v>
      </c>
      <c r="J263">
        <f t="shared" si="31"/>
        <v>5</v>
      </c>
      <c r="K263" t="str">
        <f t="shared" si="34"/>
        <v>Viernes</v>
      </c>
      <c r="L263" s="203">
        <f t="shared" si="35"/>
        <v>19</v>
      </c>
    </row>
    <row r="264" spans="2:12">
      <c r="B264" s="224" t="s">
        <v>698</v>
      </c>
      <c r="C264" s="203" t="s">
        <v>684</v>
      </c>
      <c r="D264" s="224" t="s">
        <v>301</v>
      </c>
      <c r="E264" s="203" t="s">
        <v>684</v>
      </c>
      <c r="F264" s="302" t="str">
        <f t="shared" si="30"/>
        <v>20/07/24</v>
      </c>
      <c r="G264" s="233">
        <f t="shared" si="33"/>
        <v>13</v>
      </c>
      <c r="H264" t="str">
        <f t="shared" si="32"/>
        <v>Cuarto Creciente</v>
      </c>
      <c r="J264">
        <f t="shared" si="31"/>
        <v>6</v>
      </c>
      <c r="K264" t="str">
        <f t="shared" si="34"/>
        <v>Sábado</v>
      </c>
      <c r="L264" s="203">
        <f t="shared" si="35"/>
        <v>20</v>
      </c>
    </row>
    <row r="265" spans="2:12">
      <c r="B265" s="224" t="s">
        <v>699</v>
      </c>
      <c r="C265" s="203" t="s">
        <v>684</v>
      </c>
      <c r="D265" s="224" t="s">
        <v>301</v>
      </c>
      <c r="E265" s="203" t="s">
        <v>684</v>
      </c>
      <c r="F265" s="302" t="str">
        <f t="shared" si="30"/>
        <v>21/07/24</v>
      </c>
      <c r="G265" s="233">
        <f t="shared" si="33"/>
        <v>14</v>
      </c>
      <c r="H265" t="str">
        <f t="shared" si="32"/>
        <v>Luna Llena</v>
      </c>
      <c r="J265">
        <f t="shared" si="31"/>
        <v>0</v>
      </c>
      <c r="K265" t="str">
        <f t="shared" si="34"/>
        <v>Domingo</v>
      </c>
      <c r="L265" s="203">
        <f t="shared" si="35"/>
        <v>21</v>
      </c>
    </row>
    <row r="266" spans="2:12">
      <c r="B266" s="224" t="s">
        <v>700</v>
      </c>
      <c r="C266" s="203" t="s">
        <v>684</v>
      </c>
      <c r="D266" s="224" t="s">
        <v>301</v>
      </c>
      <c r="E266" s="203" t="s">
        <v>684</v>
      </c>
      <c r="F266" s="302" t="str">
        <f t="shared" si="30"/>
        <v>22/07/24</v>
      </c>
      <c r="G266" s="233">
        <f t="shared" si="33"/>
        <v>15</v>
      </c>
      <c r="H266" t="str">
        <f t="shared" si="32"/>
        <v>Luna Llena</v>
      </c>
      <c r="J266">
        <f t="shared" si="31"/>
        <v>1</v>
      </c>
      <c r="K266" t="str">
        <f t="shared" si="34"/>
        <v>Lunes</v>
      </c>
      <c r="L266" s="203">
        <f t="shared" si="35"/>
        <v>22</v>
      </c>
    </row>
    <row r="267" spans="2:12">
      <c r="B267" s="224" t="s">
        <v>702</v>
      </c>
      <c r="C267" s="203" t="s">
        <v>684</v>
      </c>
      <c r="D267" s="224" t="s">
        <v>301</v>
      </c>
      <c r="E267" s="203" t="s">
        <v>684</v>
      </c>
      <c r="F267" s="302" t="str">
        <f t="shared" si="30"/>
        <v>23/07/24</v>
      </c>
      <c r="G267" s="233">
        <f t="shared" si="33"/>
        <v>16</v>
      </c>
      <c r="H267" t="str">
        <f t="shared" si="32"/>
        <v>Luna Llena</v>
      </c>
      <c r="J267">
        <f t="shared" si="31"/>
        <v>2</v>
      </c>
      <c r="K267" t="str">
        <f t="shared" si="34"/>
        <v>Martes</v>
      </c>
      <c r="L267" s="203">
        <f t="shared" si="35"/>
        <v>23</v>
      </c>
    </row>
    <row r="268" spans="2:12">
      <c r="B268" s="224" t="s">
        <v>703</v>
      </c>
      <c r="C268" s="203" t="s">
        <v>684</v>
      </c>
      <c r="D268" s="224" t="s">
        <v>301</v>
      </c>
      <c r="E268" s="203" t="s">
        <v>684</v>
      </c>
      <c r="F268" s="302" t="str">
        <f t="shared" si="30"/>
        <v>24/07/24</v>
      </c>
      <c r="G268" s="233">
        <f t="shared" si="33"/>
        <v>17</v>
      </c>
      <c r="H268" t="str">
        <f t="shared" si="32"/>
        <v>Luna Llena</v>
      </c>
      <c r="J268">
        <f t="shared" si="31"/>
        <v>3</v>
      </c>
      <c r="K268" t="str">
        <f t="shared" si="34"/>
        <v>Miércoles</v>
      </c>
      <c r="L268" s="203">
        <f t="shared" si="35"/>
        <v>24</v>
      </c>
    </row>
    <row r="269" spans="2:12">
      <c r="B269" s="224" t="s">
        <v>704</v>
      </c>
      <c r="C269" s="203" t="s">
        <v>684</v>
      </c>
      <c r="D269" s="224" t="s">
        <v>301</v>
      </c>
      <c r="E269" s="203" t="s">
        <v>684</v>
      </c>
      <c r="F269" s="302" t="str">
        <f t="shared" si="30"/>
        <v>25/07/24</v>
      </c>
      <c r="G269" s="233">
        <f t="shared" si="33"/>
        <v>18</v>
      </c>
      <c r="H269" t="str">
        <f t="shared" si="32"/>
        <v>Luna Llena</v>
      </c>
      <c r="J269">
        <f t="shared" si="31"/>
        <v>4</v>
      </c>
      <c r="K269" t="str">
        <f t="shared" si="34"/>
        <v>Jueves</v>
      </c>
      <c r="L269" s="203">
        <f t="shared" si="35"/>
        <v>25</v>
      </c>
    </row>
    <row r="270" spans="2:12">
      <c r="B270" s="224" t="s">
        <v>705</v>
      </c>
      <c r="C270" s="203" t="s">
        <v>684</v>
      </c>
      <c r="D270" s="224" t="s">
        <v>301</v>
      </c>
      <c r="E270" s="203" t="s">
        <v>684</v>
      </c>
      <c r="F270" s="302" t="str">
        <f t="shared" si="30"/>
        <v>26/07/24</v>
      </c>
      <c r="G270" s="233">
        <f t="shared" si="33"/>
        <v>19</v>
      </c>
      <c r="H270" t="str">
        <f t="shared" si="32"/>
        <v>Luna Llena</v>
      </c>
      <c r="J270">
        <f t="shared" si="31"/>
        <v>5</v>
      </c>
      <c r="K270" t="str">
        <f t="shared" si="34"/>
        <v>Viernes</v>
      </c>
      <c r="L270" s="203">
        <f t="shared" si="35"/>
        <v>26</v>
      </c>
    </row>
    <row r="271" spans="2:12">
      <c r="B271" s="224" t="s">
        <v>706</v>
      </c>
      <c r="C271" s="203" t="s">
        <v>684</v>
      </c>
      <c r="D271" s="224" t="s">
        <v>301</v>
      </c>
      <c r="E271" s="203" t="s">
        <v>684</v>
      </c>
      <c r="F271" s="302" t="str">
        <f t="shared" si="30"/>
        <v>27/07/24</v>
      </c>
      <c r="G271" s="233">
        <f t="shared" si="33"/>
        <v>20</v>
      </c>
      <c r="H271" t="str">
        <f t="shared" si="32"/>
        <v>Luna Llena</v>
      </c>
      <c r="J271">
        <f t="shared" si="31"/>
        <v>6</v>
      </c>
      <c r="K271" t="str">
        <f t="shared" si="34"/>
        <v>Sábado</v>
      </c>
      <c r="L271" s="203">
        <f t="shared" si="35"/>
        <v>27</v>
      </c>
    </row>
    <row r="272" spans="2:12">
      <c r="B272" s="224" t="s">
        <v>708</v>
      </c>
      <c r="C272" s="203" t="s">
        <v>684</v>
      </c>
      <c r="D272" s="224" t="s">
        <v>301</v>
      </c>
      <c r="E272" s="203" t="s">
        <v>684</v>
      </c>
      <c r="F272" s="302" t="str">
        <f t="shared" si="30"/>
        <v>28/07/24</v>
      </c>
      <c r="G272" s="233">
        <f t="shared" si="33"/>
        <v>21</v>
      </c>
      <c r="H272" t="str">
        <f t="shared" si="32"/>
        <v>Cuarto Menguante</v>
      </c>
      <c r="J272">
        <f t="shared" si="31"/>
        <v>0</v>
      </c>
      <c r="K272" t="str">
        <f t="shared" si="34"/>
        <v>Domingo</v>
      </c>
      <c r="L272" s="203">
        <f t="shared" si="35"/>
        <v>28</v>
      </c>
    </row>
    <row r="273" spans="2:12">
      <c r="B273" s="224">
        <v>29</v>
      </c>
      <c r="C273" s="203" t="s">
        <v>684</v>
      </c>
      <c r="D273" s="224" t="s">
        <v>301</v>
      </c>
      <c r="E273" s="203" t="s">
        <v>684</v>
      </c>
      <c r="F273" s="302" t="str">
        <f t="shared" si="30"/>
        <v>29/07/24</v>
      </c>
      <c r="G273" s="233">
        <f t="shared" si="33"/>
        <v>22</v>
      </c>
      <c r="H273" t="str">
        <f t="shared" si="32"/>
        <v>Cuarto Menguante</v>
      </c>
      <c r="J273">
        <f t="shared" si="31"/>
        <v>1</v>
      </c>
      <c r="K273" t="str">
        <f t="shared" si="34"/>
        <v>Lunes</v>
      </c>
      <c r="L273" s="203">
        <f t="shared" si="35"/>
        <v>29</v>
      </c>
    </row>
    <row r="274" spans="2:12">
      <c r="B274" s="224">
        <v>30</v>
      </c>
      <c r="C274" s="203" t="s">
        <v>684</v>
      </c>
      <c r="D274" s="224" t="s">
        <v>301</v>
      </c>
      <c r="E274" s="203" t="s">
        <v>684</v>
      </c>
      <c r="F274" s="302" t="str">
        <f t="shared" si="30"/>
        <v>30/07/24</v>
      </c>
      <c r="G274" s="233">
        <f t="shared" si="33"/>
        <v>23</v>
      </c>
      <c r="H274" t="str">
        <f t="shared" si="32"/>
        <v>Cuarto Menguante</v>
      </c>
      <c r="J274">
        <f t="shared" si="31"/>
        <v>2</v>
      </c>
      <c r="K274" t="str">
        <f t="shared" si="34"/>
        <v>Martes</v>
      </c>
      <c r="L274" s="203">
        <f t="shared" si="35"/>
        <v>30</v>
      </c>
    </row>
    <row r="275" spans="2:12">
      <c r="B275" s="224">
        <v>31</v>
      </c>
      <c r="C275" s="203" t="s">
        <v>684</v>
      </c>
      <c r="D275" s="224" t="s">
        <v>301</v>
      </c>
      <c r="E275" s="203" t="s">
        <v>684</v>
      </c>
      <c r="F275" s="302" t="str">
        <f t="shared" si="30"/>
        <v>31/07/24</v>
      </c>
      <c r="G275" s="233">
        <f t="shared" si="33"/>
        <v>24</v>
      </c>
      <c r="H275" t="str">
        <f t="shared" si="32"/>
        <v>Cuarto Menguante</v>
      </c>
      <c r="J275">
        <f t="shared" si="31"/>
        <v>3</v>
      </c>
      <c r="K275" t="str">
        <f t="shared" si="34"/>
        <v>Miércoles</v>
      </c>
      <c r="L275" s="203">
        <f t="shared" si="35"/>
        <v>31</v>
      </c>
    </row>
    <row r="276" spans="2:12">
      <c r="B276" s="224" t="s">
        <v>289</v>
      </c>
      <c r="C276" s="203" t="s">
        <v>684</v>
      </c>
      <c r="D276" s="224" t="s">
        <v>303</v>
      </c>
      <c r="E276" s="203" t="s">
        <v>684</v>
      </c>
      <c r="F276" s="302" t="str">
        <f t="shared" si="30"/>
        <v>01/08/24</v>
      </c>
      <c r="G276" s="233">
        <f t="shared" si="33"/>
        <v>25</v>
      </c>
      <c r="H276" t="str">
        <f t="shared" si="32"/>
        <v>Cuarto Menguante</v>
      </c>
      <c r="J276">
        <f t="shared" si="31"/>
        <v>4</v>
      </c>
      <c r="K276" t="str">
        <f t="shared" si="34"/>
        <v>Jueves</v>
      </c>
      <c r="L276" s="203">
        <f t="shared" si="35"/>
        <v>1</v>
      </c>
    </row>
    <row r="277" spans="2:12">
      <c r="B277" s="224" t="s">
        <v>291</v>
      </c>
      <c r="C277" s="203" t="s">
        <v>684</v>
      </c>
      <c r="D277" s="224" t="s">
        <v>303</v>
      </c>
      <c r="E277" s="203" t="s">
        <v>684</v>
      </c>
      <c r="F277" s="302" t="str">
        <f t="shared" si="30"/>
        <v>02/08/24</v>
      </c>
      <c r="G277" s="233">
        <f t="shared" si="33"/>
        <v>26</v>
      </c>
      <c r="H277" t="str">
        <f t="shared" si="32"/>
        <v>Cuarto Menguante</v>
      </c>
      <c r="J277">
        <f t="shared" si="31"/>
        <v>5</v>
      </c>
      <c r="K277" t="str">
        <f t="shared" si="34"/>
        <v>Viernes</v>
      </c>
      <c r="L277" s="203">
        <f t="shared" si="35"/>
        <v>2</v>
      </c>
    </row>
    <row r="278" spans="2:12">
      <c r="B278" s="224" t="s">
        <v>293</v>
      </c>
      <c r="C278" s="203" t="s">
        <v>684</v>
      </c>
      <c r="D278" s="224" t="s">
        <v>303</v>
      </c>
      <c r="E278" s="203" t="s">
        <v>684</v>
      </c>
      <c r="F278" s="302" t="str">
        <f t="shared" si="30"/>
        <v>03/08/24</v>
      </c>
      <c r="G278" s="233">
        <f t="shared" si="33"/>
        <v>27</v>
      </c>
      <c r="H278" t="str">
        <f t="shared" si="32"/>
        <v>Cuarto Menguante</v>
      </c>
      <c r="J278">
        <f t="shared" si="31"/>
        <v>6</v>
      </c>
      <c r="K278" t="str">
        <f t="shared" si="34"/>
        <v>Sábado</v>
      </c>
      <c r="L278" s="203">
        <f t="shared" si="35"/>
        <v>3</v>
      </c>
    </row>
    <row r="279" spans="2:12">
      <c r="B279" s="224" t="s">
        <v>295</v>
      </c>
      <c r="C279" s="203" t="s">
        <v>684</v>
      </c>
      <c r="D279" s="224" t="s">
        <v>303</v>
      </c>
      <c r="E279" s="203" t="s">
        <v>684</v>
      </c>
      <c r="F279" s="302" t="str">
        <f t="shared" si="30"/>
        <v>04/08/24</v>
      </c>
      <c r="G279" s="233">
        <f t="shared" si="33"/>
        <v>28</v>
      </c>
      <c r="H279" t="str">
        <f t="shared" si="32"/>
        <v>Cuarto Menguante</v>
      </c>
      <c r="J279">
        <f t="shared" si="31"/>
        <v>0</v>
      </c>
      <c r="K279" t="str">
        <f t="shared" si="34"/>
        <v>Domingo</v>
      </c>
      <c r="L279" s="203">
        <f t="shared" si="35"/>
        <v>4</v>
      </c>
    </row>
    <row r="280" spans="2:12">
      <c r="B280" s="224" t="s">
        <v>297</v>
      </c>
      <c r="C280" s="203" t="s">
        <v>684</v>
      </c>
      <c r="D280" s="224" t="s">
        <v>303</v>
      </c>
      <c r="E280" s="203" t="s">
        <v>684</v>
      </c>
      <c r="F280" s="302" t="str">
        <f t="shared" si="30"/>
        <v>05/08/24</v>
      </c>
      <c r="G280" s="233">
        <f t="shared" si="33"/>
        <v>29</v>
      </c>
      <c r="H280" t="str">
        <f t="shared" si="32"/>
        <v>Cuarto Menguante</v>
      </c>
      <c r="J280">
        <f t="shared" si="31"/>
        <v>1</v>
      </c>
      <c r="K280" t="str">
        <f t="shared" si="34"/>
        <v>Lunes</v>
      </c>
      <c r="L280" s="203">
        <f t="shared" si="35"/>
        <v>5</v>
      </c>
    </row>
    <row r="281" spans="2:12">
      <c r="B281" s="224" t="s">
        <v>299</v>
      </c>
      <c r="C281" s="203" t="s">
        <v>684</v>
      </c>
      <c r="D281" s="224" t="s">
        <v>303</v>
      </c>
      <c r="E281" s="203" t="s">
        <v>684</v>
      </c>
      <c r="F281" s="302" t="str">
        <f t="shared" si="30"/>
        <v>06/08/24</v>
      </c>
      <c r="G281" s="233">
        <f t="shared" si="33"/>
        <v>0</v>
      </c>
      <c r="H281" t="str">
        <f t="shared" si="32"/>
        <v>Luna Nueva</v>
      </c>
      <c r="J281">
        <f t="shared" si="31"/>
        <v>2</v>
      </c>
      <c r="K281" t="str">
        <f t="shared" si="34"/>
        <v>Martes</v>
      </c>
      <c r="L281" s="203">
        <f t="shared" si="35"/>
        <v>6</v>
      </c>
    </row>
    <row r="282" spans="2:12">
      <c r="B282" s="224" t="s">
        <v>301</v>
      </c>
      <c r="C282" s="203" t="s">
        <v>684</v>
      </c>
      <c r="D282" s="224" t="s">
        <v>303</v>
      </c>
      <c r="E282" s="203" t="s">
        <v>684</v>
      </c>
      <c r="F282" s="302" t="str">
        <f t="shared" si="30"/>
        <v>07/08/24</v>
      </c>
      <c r="G282" s="233">
        <f t="shared" si="33"/>
        <v>1</v>
      </c>
      <c r="H282" t="str">
        <f t="shared" si="32"/>
        <v>Luna Nueva</v>
      </c>
      <c r="J282">
        <f t="shared" si="31"/>
        <v>3</v>
      </c>
      <c r="K282" t="str">
        <f t="shared" si="34"/>
        <v>Miércoles</v>
      </c>
      <c r="L282" s="203">
        <f t="shared" si="35"/>
        <v>7</v>
      </c>
    </row>
    <row r="283" spans="2:12">
      <c r="B283" s="224" t="s">
        <v>303</v>
      </c>
      <c r="C283" s="203" t="s">
        <v>684</v>
      </c>
      <c r="D283" s="224" t="s">
        <v>303</v>
      </c>
      <c r="E283" s="203" t="s">
        <v>684</v>
      </c>
      <c r="F283" s="302" t="str">
        <f t="shared" si="30"/>
        <v>08/08/24</v>
      </c>
      <c r="G283" s="233">
        <f t="shared" si="33"/>
        <v>2</v>
      </c>
      <c r="H283" t="str">
        <f t="shared" si="32"/>
        <v>Luna Nueva</v>
      </c>
      <c r="J283">
        <f t="shared" si="31"/>
        <v>4</v>
      </c>
      <c r="K283" t="str">
        <f t="shared" si="34"/>
        <v>Jueves</v>
      </c>
      <c r="L283" s="203">
        <f t="shared" si="35"/>
        <v>8</v>
      </c>
    </row>
    <row r="284" spans="2:12">
      <c r="B284" s="224" t="s">
        <v>305</v>
      </c>
      <c r="C284" s="203" t="s">
        <v>684</v>
      </c>
      <c r="D284" s="224" t="s">
        <v>303</v>
      </c>
      <c r="E284" s="203" t="s">
        <v>684</v>
      </c>
      <c r="F284" s="302" t="str">
        <f t="shared" si="30"/>
        <v>09/08/24</v>
      </c>
      <c r="G284" s="233">
        <f t="shared" si="33"/>
        <v>3</v>
      </c>
      <c r="H284" t="str">
        <f t="shared" si="32"/>
        <v>Luna Nueva</v>
      </c>
      <c r="J284">
        <f t="shared" si="31"/>
        <v>5</v>
      </c>
      <c r="K284" t="str">
        <f t="shared" si="34"/>
        <v>Viernes</v>
      </c>
      <c r="L284" s="203">
        <f t="shared" si="35"/>
        <v>9</v>
      </c>
    </row>
    <row r="285" spans="2:12">
      <c r="B285" s="224" t="s">
        <v>307</v>
      </c>
      <c r="C285" s="203" t="s">
        <v>684</v>
      </c>
      <c r="D285" s="224" t="s">
        <v>303</v>
      </c>
      <c r="E285" s="203" t="s">
        <v>684</v>
      </c>
      <c r="F285" s="302" t="str">
        <f t="shared" si="30"/>
        <v>10/08/24</v>
      </c>
      <c r="G285" s="233">
        <f t="shared" si="33"/>
        <v>4</v>
      </c>
      <c r="H285" t="str">
        <f t="shared" si="32"/>
        <v>Luna Nueva</v>
      </c>
      <c r="J285">
        <f t="shared" si="31"/>
        <v>6</v>
      </c>
      <c r="K285" t="str">
        <f t="shared" si="34"/>
        <v>Sábado</v>
      </c>
      <c r="L285" s="203">
        <f t="shared" si="35"/>
        <v>10</v>
      </c>
    </row>
    <row r="286" spans="2:12">
      <c r="B286" s="224" t="s">
        <v>309</v>
      </c>
      <c r="C286" s="203" t="s">
        <v>684</v>
      </c>
      <c r="D286" s="224" t="s">
        <v>303</v>
      </c>
      <c r="E286" s="203" t="s">
        <v>684</v>
      </c>
      <c r="F286" s="302" t="str">
        <f t="shared" si="30"/>
        <v>11/08/24</v>
      </c>
      <c r="G286" s="233">
        <f t="shared" si="33"/>
        <v>5</v>
      </c>
      <c r="H286" t="str">
        <f t="shared" si="32"/>
        <v>Luna Nueva</v>
      </c>
      <c r="J286">
        <f t="shared" si="31"/>
        <v>0</v>
      </c>
      <c r="K286" t="str">
        <f t="shared" si="34"/>
        <v>Domingo</v>
      </c>
      <c r="L286" s="203">
        <f t="shared" si="35"/>
        <v>11</v>
      </c>
    </row>
    <row r="287" spans="2:12">
      <c r="B287" s="224" t="s">
        <v>311</v>
      </c>
      <c r="C287" s="203" t="s">
        <v>684</v>
      </c>
      <c r="D287" s="224" t="s">
        <v>303</v>
      </c>
      <c r="E287" s="203" t="s">
        <v>684</v>
      </c>
      <c r="F287" s="302" t="str">
        <f t="shared" si="30"/>
        <v>12/08/24</v>
      </c>
      <c r="G287" s="233">
        <f t="shared" si="33"/>
        <v>6</v>
      </c>
      <c r="H287" t="str">
        <f t="shared" si="32"/>
        <v>Cuarto Creciente</v>
      </c>
      <c r="J287">
        <f t="shared" si="31"/>
        <v>1</v>
      </c>
      <c r="K287" t="str">
        <f t="shared" si="34"/>
        <v>Lunes</v>
      </c>
      <c r="L287" s="203">
        <f t="shared" si="35"/>
        <v>12</v>
      </c>
    </row>
    <row r="288" spans="2:12">
      <c r="B288" s="224" t="s">
        <v>688</v>
      </c>
      <c r="C288" s="203" t="s">
        <v>684</v>
      </c>
      <c r="D288" s="224" t="s">
        <v>303</v>
      </c>
      <c r="E288" s="203" t="s">
        <v>684</v>
      </c>
      <c r="F288" s="302" t="str">
        <f t="shared" si="30"/>
        <v>13/08/24</v>
      </c>
      <c r="G288" s="233">
        <f t="shared" si="33"/>
        <v>7</v>
      </c>
      <c r="H288" t="str">
        <f t="shared" si="32"/>
        <v>Cuarto Creciente</v>
      </c>
      <c r="J288">
        <f t="shared" si="31"/>
        <v>2</v>
      </c>
      <c r="K288" t="str">
        <f t="shared" si="34"/>
        <v>Martes</v>
      </c>
      <c r="L288" s="203">
        <f t="shared" si="35"/>
        <v>13</v>
      </c>
    </row>
    <row r="289" spans="2:12">
      <c r="B289" s="224" t="s">
        <v>689</v>
      </c>
      <c r="C289" s="203" t="s">
        <v>684</v>
      </c>
      <c r="D289" s="224" t="s">
        <v>303</v>
      </c>
      <c r="E289" s="203" t="s">
        <v>684</v>
      </c>
      <c r="F289" s="302" t="str">
        <f t="shared" si="30"/>
        <v>14/08/24</v>
      </c>
      <c r="G289" s="233">
        <f t="shared" si="33"/>
        <v>8</v>
      </c>
      <c r="H289" t="str">
        <f t="shared" si="32"/>
        <v>Cuarto Creciente</v>
      </c>
      <c r="J289">
        <f t="shared" si="31"/>
        <v>3</v>
      </c>
      <c r="K289" t="str">
        <f t="shared" si="34"/>
        <v>Miércoles</v>
      </c>
      <c r="L289" s="203">
        <f t="shared" si="35"/>
        <v>14</v>
      </c>
    </row>
    <row r="290" spans="2:12">
      <c r="B290" s="224" t="s">
        <v>690</v>
      </c>
      <c r="C290" s="203" t="s">
        <v>684</v>
      </c>
      <c r="D290" s="224" t="s">
        <v>303</v>
      </c>
      <c r="E290" s="203" t="s">
        <v>684</v>
      </c>
      <c r="F290" s="302" t="str">
        <f t="shared" si="30"/>
        <v>15/08/24</v>
      </c>
      <c r="G290" s="233">
        <f t="shared" si="33"/>
        <v>9</v>
      </c>
      <c r="H290" t="str">
        <f t="shared" si="32"/>
        <v>Cuarto Creciente</v>
      </c>
      <c r="J290">
        <f t="shared" si="31"/>
        <v>4</v>
      </c>
      <c r="K290" t="str">
        <f t="shared" si="34"/>
        <v>Jueves</v>
      </c>
      <c r="L290" s="203">
        <f t="shared" si="35"/>
        <v>15</v>
      </c>
    </row>
    <row r="291" spans="2:12">
      <c r="B291" s="224" t="s">
        <v>692</v>
      </c>
      <c r="C291" s="203" t="s">
        <v>684</v>
      </c>
      <c r="D291" s="224" t="s">
        <v>303</v>
      </c>
      <c r="E291" s="203" t="s">
        <v>684</v>
      </c>
      <c r="F291" s="302" t="str">
        <f t="shared" si="30"/>
        <v>16/08/24</v>
      </c>
      <c r="G291" s="233">
        <f t="shared" si="33"/>
        <v>10</v>
      </c>
      <c r="H291" t="str">
        <f t="shared" si="32"/>
        <v>Cuarto Creciente</v>
      </c>
      <c r="J291">
        <f t="shared" si="31"/>
        <v>5</v>
      </c>
      <c r="K291" t="str">
        <f t="shared" si="34"/>
        <v>Viernes</v>
      </c>
      <c r="L291" s="203">
        <f t="shared" si="35"/>
        <v>16</v>
      </c>
    </row>
    <row r="292" spans="2:12">
      <c r="B292" s="224" t="s">
        <v>693</v>
      </c>
      <c r="C292" s="203" t="s">
        <v>684</v>
      </c>
      <c r="D292" s="224" t="s">
        <v>303</v>
      </c>
      <c r="E292" s="203" t="s">
        <v>684</v>
      </c>
      <c r="F292" s="302" t="str">
        <f t="shared" si="30"/>
        <v>17/08/24</v>
      </c>
      <c r="G292" s="233">
        <f t="shared" si="33"/>
        <v>11</v>
      </c>
      <c r="H292" t="str">
        <f t="shared" si="32"/>
        <v>Cuarto Creciente</v>
      </c>
      <c r="J292">
        <f t="shared" si="31"/>
        <v>6</v>
      </c>
      <c r="K292" t="str">
        <f t="shared" si="34"/>
        <v>Sábado</v>
      </c>
      <c r="L292" s="203">
        <f t="shared" si="35"/>
        <v>17</v>
      </c>
    </row>
    <row r="293" spans="2:12">
      <c r="B293" s="224" t="s">
        <v>695</v>
      </c>
      <c r="C293" s="203" t="s">
        <v>684</v>
      </c>
      <c r="D293" s="224" t="s">
        <v>303</v>
      </c>
      <c r="E293" s="203" t="s">
        <v>684</v>
      </c>
      <c r="F293" s="302" t="str">
        <f t="shared" si="30"/>
        <v>18/08/24</v>
      </c>
      <c r="G293" s="233">
        <f t="shared" si="33"/>
        <v>12</v>
      </c>
      <c r="H293" t="str">
        <f t="shared" si="32"/>
        <v>Cuarto Creciente</v>
      </c>
      <c r="J293">
        <f t="shared" si="31"/>
        <v>0</v>
      </c>
      <c r="K293" t="str">
        <f t="shared" si="34"/>
        <v>Domingo</v>
      </c>
      <c r="L293" s="203">
        <f t="shared" si="35"/>
        <v>18</v>
      </c>
    </row>
    <row r="294" spans="2:12">
      <c r="B294" s="224" t="s">
        <v>697</v>
      </c>
      <c r="C294" s="203" t="s">
        <v>684</v>
      </c>
      <c r="D294" s="224" t="s">
        <v>303</v>
      </c>
      <c r="E294" s="203" t="s">
        <v>684</v>
      </c>
      <c r="F294" s="302" t="str">
        <f t="shared" si="30"/>
        <v>19/08/24</v>
      </c>
      <c r="G294" s="233">
        <f t="shared" si="33"/>
        <v>13</v>
      </c>
      <c r="H294" t="str">
        <f t="shared" si="32"/>
        <v>Cuarto Creciente</v>
      </c>
      <c r="J294">
        <f t="shared" si="31"/>
        <v>1</v>
      </c>
      <c r="K294" t="str">
        <f t="shared" si="34"/>
        <v>Lunes</v>
      </c>
      <c r="L294" s="203">
        <f t="shared" si="35"/>
        <v>19</v>
      </c>
    </row>
    <row r="295" spans="2:12">
      <c r="B295" s="224" t="s">
        <v>698</v>
      </c>
      <c r="C295" s="203" t="s">
        <v>684</v>
      </c>
      <c r="D295" s="224" t="s">
        <v>303</v>
      </c>
      <c r="E295" s="203" t="s">
        <v>684</v>
      </c>
      <c r="F295" s="302" t="str">
        <f t="shared" si="30"/>
        <v>20/08/24</v>
      </c>
      <c r="G295" s="233">
        <f t="shared" si="33"/>
        <v>14</v>
      </c>
      <c r="H295" t="str">
        <f t="shared" si="32"/>
        <v>Luna Llena</v>
      </c>
      <c r="J295">
        <f t="shared" si="31"/>
        <v>2</v>
      </c>
      <c r="K295" t="str">
        <f t="shared" si="34"/>
        <v>Martes</v>
      </c>
      <c r="L295" s="203">
        <f t="shared" si="35"/>
        <v>20</v>
      </c>
    </row>
    <row r="296" spans="2:12">
      <c r="B296" s="224" t="s">
        <v>699</v>
      </c>
      <c r="C296" s="203" t="s">
        <v>684</v>
      </c>
      <c r="D296" s="224" t="s">
        <v>303</v>
      </c>
      <c r="E296" s="203" t="s">
        <v>684</v>
      </c>
      <c r="F296" s="302" t="str">
        <f t="shared" si="30"/>
        <v>21/08/24</v>
      </c>
      <c r="G296" s="233">
        <f t="shared" si="33"/>
        <v>15</v>
      </c>
      <c r="H296" t="str">
        <f t="shared" si="32"/>
        <v>Luna Llena</v>
      </c>
      <c r="J296">
        <f t="shared" si="31"/>
        <v>3</v>
      </c>
      <c r="K296" t="str">
        <f t="shared" si="34"/>
        <v>Miércoles</v>
      </c>
      <c r="L296" s="203">
        <f t="shared" si="35"/>
        <v>21</v>
      </c>
    </row>
    <row r="297" spans="2:12">
      <c r="B297" s="224" t="s">
        <v>700</v>
      </c>
      <c r="C297" s="203" t="s">
        <v>684</v>
      </c>
      <c r="D297" s="224" t="s">
        <v>303</v>
      </c>
      <c r="E297" s="203" t="s">
        <v>684</v>
      </c>
      <c r="F297" s="302" t="str">
        <f t="shared" si="30"/>
        <v>22/08/24</v>
      </c>
      <c r="G297" s="233">
        <f t="shared" si="33"/>
        <v>16</v>
      </c>
      <c r="H297" t="str">
        <f t="shared" si="32"/>
        <v>Luna Llena</v>
      </c>
      <c r="J297">
        <f t="shared" si="31"/>
        <v>4</v>
      </c>
      <c r="K297" t="str">
        <f t="shared" si="34"/>
        <v>Jueves</v>
      </c>
      <c r="L297" s="203">
        <f t="shared" si="35"/>
        <v>22</v>
      </c>
    </row>
    <row r="298" spans="2:12">
      <c r="B298" s="224" t="s">
        <v>702</v>
      </c>
      <c r="C298" s="203" t="s">
        <v>684</v>
      </c>
      <c r="D298" s="224" t="s">
        <v>303</v>
      </c>
      <c r="E298" s="203" t="s">
        <v>684</v>
      </c>
      <c r="F298" s="302" t="str">
        <f t="shared" si="30"/>
        <v>23/08/24</v>
      </c>
      <c r="G298" s="233">
        <f t="shared" si="33"/>
        <v>17</v>
      </c>
      <c r="H298" t="str">
        <f t="shared" si="32"/>
        <v>Luna Llena</v>
      </c>
      <c r="J298">
        <f t="shared" si="31"/>
        <v>5</v>
      </c>
      <c r="K298" t="str">
        <f t="shared" si="34"/>
        <v>Viernes</v>
      </c>
      <c r="L298" s="203">
        <f t="shared" si="35"/>
        <v>23</v>
      </c>
    </row>
    <row r="299" spans="2:12">
      <c r="B299" s="224" t="s">
        <v>703</v>
      </c>
      <c r="C299" s="203" t="s">
        <v>684</v>
      </c>
      <c r="D299" s="224" t="s">
        <v>303</v>
      </c>
      <c r="E299" s="203" t="s">
        <v>684</v>
      </c>
      <c r="F299" s="302" t="str">
        <f t="shared" si="30"/>
        <v>24/08/24</v>
      </c>
      <c r="G299" s="233">
        <f t="shared" si="33"/>
        <v>18</v>
      </c>
      <c r="H299" t="str">
        <f t="shared" si="32"/>
        <v>Luna Llena</v>
      </c>
      <c r="J299">
        <f t="shared" si="31"/>
        <v>6</v>
      </c>
      <c r="K299" t="str">
        <f t="shared" si="34"/>
        <v>Sábado</v>
      </c>
      <c r="L299" s="203">
        <f t="shared" si="35"/>
        <v>24</v>
      </c>
    </row>
    <row r="300" spans="2:12">
      <c r="B300" s="224" t="s">
        <v>704</v>
      </c>
      <c r="C300" s="203" t="s">
        <v>684</v>
      </c>
      <c r="D300" s="224" t="s">
        <v>303</v>
      </c>
      <c r="E300" s="203" t="s">
        <v>684</v>
      </c>
      <c r="F300" s="302" t="str">
        <f t="shared" si="30"/>
        <v>25/08/24</v>
      </c>
      <c r="G300" s="233">
        <f t="shared" si="33"/>
        <v>19</v>
      </c>
      <c r="H300" t="str">
        <f t="shared" si="32"/>
        <v>Luna Llena</v>
      </c>
      <c r="J300">
        <f t="shared" si="31"/>
        <v>0</v>
      </c>
      <c r="K300" t="str">
        <f t="shared" si="34"/>
        <v>Domingo</v>
      </c>
      <c r="L300" s="203">
        <f t="shared" si="35"/>
        <v>25</v>
      </c>
    </row>
    <row r="301" spans="2:12">
      <c r="B301" s="224" t="s">
        <v>705</v>
      </c>
      <c r="C301" s="203" t="s">
        <v>684</v>
      </c>
      <c r="D301" s="224" t="s">
        <v>303</v>
      </c>
      <c r="E301" s="203" t="s">
        <v>684</v>
      </c>
      <c r="F301" s="302" t="str">
        <f t="shared" si="30"/>
        <v>26/08/24</v>
      </c>
      <c r="G301" s="233">
        <f t="shared" si="33"/>
        <v>20</v>
      </c>
      <c r="H301" t="str">
        <f t="shared" si="32"/>
        <v>Luna Llena</v>
      </c>
      <c r="J301">
        <f t="shared" si="31"/>
        <v>1</v>
      </c>
      <c r="K301" t="str">
        <f t="shared" si="34"/>
        <v>Lunes</v>
      </c>
      <c r="L301" s="203">
        <f t="shared" si="35"/>
        <v>26</v>
      </c>
    </row>
    <row r="302" spans="2:12">
      <c r="B302" s="224" t="s">
        <v>706</v>
      </c>
      <c r="C302" s="203" t="s">
        <v>684</v>
      </c>
      <c r="D302" s="224" t="s">
        <v>303</v>
      </c>
      <c r="E302" s="203" t="s">
        <v>684</v>
      </c>
      <c r="F302" s="302" t="str">
        <f t="shared" si="30"/>
        <v>27/08/24</v>
      </c>
      <c r="G302" s="233">
        <f t="shared" si="33"/>
        <v>21</v>
      </c>
      <c r="H302" t="str">
        <f t="shared" si="32"/>
        <v>Cuarto Menguante</v>
      </c>
      <c r="J302">
        <f t="shared" si="31"/>
        <v>2</v>
      </c>
      <c r="K302" t="str">
        <f t="shared" si="34"/>
        <v>Martes</v>
      </c>
      <c r="L302" s="203">
        <f t="shared" si="35"/>
        <v>27</v>
      </c>
    </row>
    <row r="303" spans="2:12">
      <c r="B303" s="224" t="s">
        <v>708</v>
      </c>
      <c r="C303" s="203" t="s">
        <v>684</v>
      </c>
      <c r="D303" s="224" t="s">
        <v>303</v>
      </c>
      <c r="E303" s="203" t="s">
        <v>684</v>
      </c>
      <c r="F303" s="302" t="str">
        <f t="shared" si="30"/>
        <v>28/08/24</v>
      </c>
      <c r="G303" s="233">
        <f t="shared" si="33"/>
        <v>22</v>
      </c>
      <c r="H303" t="str">
        <f t="shared" si="32"/>
        <v>Cuarto Menguante</v>
      </c>
      <c r="J303">
        <f t="shared" si="31"/>
        <v>3</v>
      </c>
      <c r="K303" t="str">
        <f t="shared" si="34"/>
        <v>Miércoles</v>
      </c>
      <c r="L303" s="203">
        <f t="shared" si="35"/>
        <v>28</v>
      </c>
    </row>
    <row r="304" spans="2:12">
      <c r="B304" s="224">
        <v>29</v>
      </c>
      <c r="C304" s="203" t="s">
        <v>684</v>
      </c>
      <c r="D304" s="224" t="s">
        <v>303</v>
      </c>
      <c r="E304" s="203" t="s">
        <v>684</v>
      </c>
      <c r="F304" s="302" t="str">
        <f t="shared" si="30"/>
        <v>29/08/24</v>
      </c>
      <c r="G304" s="233">
        <f t="shared" si="33"/>
        <v>23</v>
      </c>
      <c r="H304" t="str">
        <f t="shared" si="32"/>
        <v>Cuarto Menguante</v>
      </c>
      <c r="J304">
        <f t="shared" si="31"/>
        <v>4</v>
      </c>
      <c r="K304" t="str">
        <f t="shared" si="34"/>
        <v>Jueves</v>
      </c>
      <c r="L304" s="203">
        <f t="shared" si="35"/>
        <v>29</v>
      </c>
    </row>
    <row r="305" spans="2:12">
      <c r="B305" s="224">
        <v>30</v>
      </c>
      <c r="C305" s="203" t="s">
        <v>684</v>
      </c>
      <c r="D305" s="224" t="s">
        <v>303</v>
      </c>
      <c r="E305" s="203" t="s">
        <v>684</v>
      </c>
      <c r="F305" s="302" t="str">
        <f t="shared" si="30"/>
        <v>30/08/24</v>
      </c>
      <c r="G305" s="233">
        <f t="shared" si="33"/>
        <v>24</v>
      </c>
      <c r="H305" t="str">
        <f t="shared" si="32"/>
        <v>Cuarto Menguante</v>
      </c>
      <c r="J305">
        <f t="shared" si="31"/>
        <v>5</v>
      </c>
      <c r="K305" t="str">
        <f t="shared" si="34"/>
        <v>Viernes</v>
      </c>
      <c r="L305" s="203">
        <f t="shared" si="35"/>
        <v>30</v>
      </c>
    </row>
    <row r="306" spans="2:12">
      <c r="B306" s="224">
        <v>31</v>
      </c>
      <c r="C306" s="203" t="s">
        <v>684</v>
      </c>
      <c r="D306" s="224" t="s">
        <v>303</v>
      </c>
      <c r="E306" s="203" t="s">
        <v>684</v>
      </c>
      <c r="F306" s="302" t="str">
        <f t="shared" si="30"/>
        <v>31/08/24</v>
      </c>
      <c r="G306" s="233">
        <f t="shared" si="33"/>
        <v>25</v>
      </c>
      <c r="H306" t="str">
        <f t="shared" si="32"/>
        <v>Cuarto Menguante</v>
      </c>
      <c r="J306">
        <f t="shared" si="31"/>
        <v>6</v>
      </c>
      <c r="K306" t="str">
        <f t="shared" si="34"/>
        <v>Sábado</v>
      </c>
      <c r="L306" s="203">
        <f t="shared" si="35"/>
        <v>31</v>
      </c>
    </row>
    <row r="307" spans="2:12">
      <c r="B307" s="224" t="s">
        <v>289</v>
      </c>
      <c r="C307" s="203" t="s">
        <v>684</v>
      </c>
      <c r="D307" s="224" t="s">
        <v>305</v>
      </c>
      <c r="E307" s="203" t="s">
        <v>684</v>
      </c>
      <c r="F307" s="302" t="str">
        <f t="shared" si="30"/>
        <v>01/09/24</v>
      </c>
      <c r="G307" s="233">
        <f t="shared" si="33"/>
        <v>27</v>
      </c>
      <c r="H307" t="str">
        <f t="shared" si="32"/>
        <v>Cuarto Menguante</v>
      </c>
      <c r="J307">
        <f t="shared" si="31"/>
        <v>0</v>
      </c>
      <c r="K307" t="str">
        <f t="shared" si="34"/>
        <v>Domingo</v>
      </c>
      <c r="L307" s="203">
        <f t="shared" si="35"/>
        <v>1</v>
      </c>
    </row>
    <row r="308" spans="2:12">
      <c r="B308" s="224" t="s">
        <v>291</v>
      </c>
      <c r="C308" s="203" t="s">
        <v>684</v>
      </c>
      <c r="D308" s="224" t="s">
        <v>305</v>
      </c>
      <c r="E308" s="203" t="s">
        <v>684</v>
      </c>
      <c r="F308" s="302" t="str">
        <f t="shared" si="30"/>
        <v>02/09/24</v>
      </c>
      <c r="G308" s="233">
        <f t="shared" si="33"/>
        <v>28</v>
      </c>
      <c r="H308" t="str">
        <f t="shared" si="32"/>
        <v>Cuarto Menguante</v>
      </c>
      <c r="J308">
        <f t="shared" si="31"/>
        <v>1</v>
      </c>
      <c r="K308" t="str">
        <f t="shared" si="34"/>
        <v>Lunes</v>
      </c>
      <c r="L308" s="203">
        <f t="shared" si="35"/>
        <v>2</v>
      </c>
    </row>
    <row r="309" spans="2:12">
      <c r="B309" s="224" t="s">
        <v>293</v>
      </c>
      <c r="C309" s="203" t="s">
        <v>684</v>
      </c>
      <c r="D309" s="224" t="s">
        <v>305</v>
      </c>
      <c r="E309" s="203" t="s">
        <v>684</v>
      </c>
      <c r="F309" s="302" t="str">
        <f t="shared" si="30"/>
        <v>03/09/24</v>
      </c>
      <c r="G309" s="233">
        <f t="shared" si="33"/>
        <v>29</v>
      </c>
      <c r="H309" t="str">
        <f t="shared" si="32"/>
        <v>Cuarto Menguante</v>
      </c>
      <c r="J309">
        <f t="shared" si="31"/>
        <v>2</v>
      </c>
      <c r="K309" t="str">
        <f t="shared" si="34"/>
        <v>Martes</v>
      </c>
      <c r="L309" s="203">
        <f t="shared" si="35"/>
        <v>3</v>
      </c>
    </row>
    <row r="310" spans="2:12">
      <c r="B310" s="224" t="s">
        <v>295</v>
      </c>
      <c r="C310" s="203" t="s">
        <v>684</v>
      </c>
      <c r="D310" s="224" t="s">
        <v>305</v>
      </c>
      <c r="E310" s="203" t="s">
        <v>684</v>
      </c>
      <c r="F310" s="302" t="str">
        <f t="shared" si="30"/>
        <v>04/09/24</v>
      </c>
      <c r="G310" s="233">
        <f t="shared" si="33"/>
        <v>0</v>
      </c>
      <c r="H310" t="str">
        <f t="shared" si="32"/>
        <v>Luna Nueva</v>
      </c>
      <c r="J310">
        <f t="shared" si="31"/>
        <v>3</v>
      </c>
      <c r="K310" t="str">
        <f t="shared" si="34"/>
        <v>Miércoles</v>
      </c>
      <c r="L310" s="203">
        <f t="shared" si="35"/>
        <v>4</v>
      </c>
    </row>
    <row r="311" spans="2:12">
      <c r="B311" s="224" t="s">
        <v>297</v>
      </c>
      <c r="C311" s="203" t="s">
        <v>684</v>
      </c>
      <c r="D311" s="224" t="s">
        <v>305</v>
      </c>
      <c r="E311" s="203" t="s">
        <v>684</v>
      </c>
      <c r="F311" s="302" t="str">
        <f t="shared" si="30"/>
        <v>05/09/24</v>
      </c>
      <c r="G311" s="233">
        <f t="shared" si="33"/>
        <v>1</v>
      </c>
      <c r="H311" t="str">
        <f t="shared" si="32"/>
        <v>Luna Nueva</v>
      </c>
      <c r="J311">
        <f t="shared" si="31"/>
        <v>4</v>
      </c>
      <c r="K311" t="str">
        <f t="shared" si="34"/>
        <v>Jueves</v>
      </c>
      <c r="L311" s="203">
        <f t="shared" si="35"/>
        <v>5</v>
      </c>
    </row>
    <row r="312" spans="2:12">
      <c r="B312" s="224" t="s">
        <v>299</v>
      </c>
      <c r="C312" s="203" t="s">
        <v>684</v>
      </c>
      <c r="D312" s="224" t="s">
        <v>305</v>
      </c>
      <c r="E312" s="203" t="s">
        <v>684</v>
      </c>
      <c r="F312" s="302" t="str">
        <f t="shared" si="30"/>
        <v>06/09/24</v>
      </c>
      <c r="G312" s="233">
        <f t="shared" si="33"/>
        <v>2</v>
      </c>
      <c r="H312" t="str">
        <f t="shared" si="32"/>
        <v>Luna Nueva</v>
      </c>
      <c r="J312">
        <f t="shared" si="31"/>
        <v>5</v>
      </c>
      <c r="K312" t="str">
        <f t="shared" si="34"/>
        <v>Viernes</v>
      </c>
      <c r="L312" s="203">
        <f t="shared" si="35"/>
        <v>6</v>
      </c>
    </row>
    <row r="313" spans="2:12">
      <c r="B313" s="224" t="s">
        <v>301</v>
      </c>
      <c r="C313" s="203" t="s">
        <v>684</v>
      </c>
      <c r="D313" s="224" t="s">
        <v>305</v>
      </c>
      <c r="E313" s="203" t="s">
        <v>684</v>
      </c>
      <c r="F313" s="302" t="str">
        <f t="shared" si="30"/>
        <v>07/09/24</v>
      </c>
      <c r="G313" s="233">
        <f t="shared" si="33"/>
        <v>3</v>
      </c>
      <c r="H313" t="str">
        <f t="shared" si="32"/>
        <v>Luna Nueva</v>
      </c>
      <c r="J313">
        <f t="shared" si="31"/>
        <v>6</v>
      </c>
      <c r="K313" t="str">
        <f t="shared" si="34"/>
        <v>Sábado</v>
      </c>
      <c r="L313" s="203">
        <f t="shared" si="35"/>
        <v>7</v>
      </c>
    </row>
    <row r="314" spans="2:12">
      <c r="B314" s="224" t="s">
        <v>303</v>
      </c>
      <c r="C314" s="203" t="s">
        <v>684</v>
      </c>
      <c r="D314" s="224" t="s">
        <v>305</v>
      </c>
      <c r="E314" s="203" t="s">
        <v>684</v>
      </c>
      <c r="F314" s="302" t="str">
        <f t="shared" si="30"/>
        <v>08/09/24</v>
      </c>
      <c r="G314" s="233">
        <f t="shared" si="33"/>
        <v>4</v>
      </c>
      <c r="H314" t="str">
        <f t="shared" si="32"/>
        <v>Luna Nueva</v>
      </c>
      <c r="J314">
        <f t="shared" si="31"/>
        <v>0</v>
      </c>
      <c r="K314" t="str">
        <f t="shared" si="34"/>
        <v>Domingo</v>
      </c>
      <c r="L314" s="203">
        <f t="shared" si="35"/>
        <v>8</v>
      </c>
    </row>
    <row r="315" spans="2:12">
      <c r="B315" s="224" t="s">
        <v>305</v>
      </c>
      <c r="C315" s="203" t="s">
        <v>684</v>
      </c>
      <c r="D315" s="224" t="s">
        <v>305</v>
      </c>
      <c r="E315" s="203" t="s">
        <v>684</v>
      </c>
      <c r="F315" s="302" t="str">
        <f t="shared" ref="F315:F378" si="36">CONCATENATE(B315,C315,D315,E315,$E$37)</f>
        <v>09/09/24</v>
      </c>
      <c r="G315" s="233">
        <f t="shared" si="33"/>
        <v>5</v>
      </c>
      <c r="H315" t="str">
        <f t="shared" si="32"/>
        <v>Luna Nueva</v>
      </c>
      <c r="J315">
        <f t="shared" si="31"/>
        <v>1</v>
      </c>
      <c r="K315" t="str">
        <f t="shared" si="34"/>
        <v>Lunes</v>
      </c>
      <c r="L315" s="203">
        <f t="shared" si="35"/>
        <v>9</v>
      </c>
    </row>
    <row r="316" spans="2:12">
      <c r="B316" s="224" t="s">
        <v>307</v>
      </c>
      <c r="C316" s="203" t="s">
        <v>684</v>
      </c>
      <c r="D316" s="224" t="s">
        <v>305</v>
      </c>
      <c r="E316" s="203" t="s">
        <v>684</v>
      </c>
      <c r="F316" s="302" t="str">
        <f t="shared" si="36"/>
        <v>10/09/24</v>
      </c>
      <c r="G316" s="233">
        <f t="shared" si="33"/>
        <v>6</v>
      </c>
      <c r="H316" t="str">
        <f t="shared" si="32"/>
        <v>Cuarto Creciente</v>
      </c>
      <c r="J316">
        <f t="shared" si="31"/>
        <v>2</v>
      </c>
      <c r="K316" t="str">
        <f t="shared" si="34"/>
        <v>Martes</v>
      </c>
      <c r="L316" s="203">
        <f t="shared" si="35"/>
        <v>10</v>
      </c>
    </row>
    <row r="317" spans="2:12">
      <c r="B317" s="224" t="s">
        <v>309</v>
      </c>
      <c r="C317" s="203" t="s">
        <v>684</v>
      </c>
      <c r="D317" s="224" t="s">
        <v>305</v>
      </c>
      <c r="E317" s="203" t="s">
        <v>684</v>
      </c>
      <c r="F317" s="302" t="str">
        <f t="shared" si="36"/>
        <v>11/09/24</v>
      </c>
      <c r="G317" s="233">
        <f t="shared" si="33"/>
        <v>7</v>
      </c>
      <c r="H317" t="str">
        <f t="shared" si="32"/>
        <v>Cuarto Creciente</v>
      </c>
      <c r="J317">
        <f t="shared" ref="J317:J380" si="37">IF(J316&lt;6,J316+1,0)</f>
        <v>3</v>
      </c>
      <c r="K317" t="str">
        <f t="shared" si="34"/>
        <v>Miércoles</v>
      </c>
      <c r="L317" s="203">
        <f t="shared" si="35"/>
        <v>11</v>
      </c>
    </row>
    <row r="318" spans="2:12">
      <c r="B318" s="224" t="s">
        <v>311</v>
      </c>
      <c r="C318" s="203" t="s">
        <v>684</v>
      </c>
      <c r="D318" s="224" t="s">
        <v>305</v>
      </c>
      <c r="E318" s="203" t="s">
        <v>684</v>
      </c>
      <c r="F318" s="302" t="str">
        <f t="shared" si="36"/>
        <v>12/09/24</v>
      </c>
      <c r="G318" s="233">
        <f t="shared" si="33"/>
        <v>8</v>
      </c>
      <c r="H318" t="str">
        <f t="shared" si="32"/>
        <v>Cuarto Creciente</v>
      </c>
      <c r="J318">
        <f t="shared" si="37"/>
        <v>4</v>
      </c>
      <c r="K318" t="str">
        <f t="shared" si="34"/>
        <v>Jueves</v>
      </c>
      <c r="L318" s="203">
        <f t="shared" si="35"/>
        <v>12</v>
      </c>
    </row>
    <row r="319" spans="2:12">
      <c r="B319" s="224" t="s">
        <v>688</v>
      </c>
      <c r="C319" s="203" t="s">
        <v>684</v>
      </c>
      <c r="D319" s="224" t="s">
        <v>305</v>
      </c>
      <c r="E319" s="203" t="s">
        <v>684</v>
      </c>
      <c r="F319" s="302" t="str">
        <f t="shared" si="36"/>
        <v>13/09/24</v>
      </c>
      <c r="G319" s="233">
        <f t="shared" si="33"/>
        <v>9</v>
      </c>
      <c r="H319" t="str">
        <f t="shared" ref="H319:H382" si="38">VLOOKUP(G319,$J$32:$K$61,2)</f>
        <v>Cuarto Creciente</v>
      </c>
      <c r="J319">
        <f t="shared" si="37"/>
        <v>5</v>
      </c>
      <c r="K319" t="str">
        <f t="shared" si="34"/>
        <v>Viernes</v>
      </c>
      <c r="L319" s="203">
        <f t="shared" si="35"/>
        <v>13</v>
      </c>
    </row>
    <row r="320" spans="2:12">
      <c r="B320" s="224" t="s">
        <v>689</v>
      </c>
      <c r="C320" s="203" t="s">
        <v>684</v>
      </c>
      <c r="D320" s="224" t="s">
        <v>305</v>
      </c>
      <c r="E320" s="203" t="s">
        <v>684</v>
      </c>
      <c r="F320" s="302" t="str">
        <f t="shared" si="36"/>
        <v>14/09/24</v>
      </c>
      <c r="G320" s="233">
        <f t="shared" ref="G320:G383" si="39">MOD($A$69+B320+VLOOKUP(MONTH(F320),$B$35:$D$46,3),30)</f>
        <v>10</v>
      </c>
      <c r="H320" t="str">
        <f t="shared" si="38"/>
        <v>Cuarto Creciente</v>
      </c>
      <c r="J320">
        <f t="shared" si="37"/>
        <v>6</v>
      </c>
      <c r="K320" t="str">
        <f t="shared" ref="K320:K383" si="40">VLOOKUP(J320,$H$45:$I$52,2)</f>
        <v>Sábado</v>
      </c>
      <c r="L320" s="203">
        <f t="shared" ref="L320:L383" si="41">VALUE(LEFT(F320,2))</f>
        <v>14</v>
      </c>
    </row>
    <row r="321" spans="2:12">
      <c r="B321" s="224" t="s">
        <v>690</v>
      </c>
      <c r="C321" s="203" t="s">
        <v>684</v>
      </c>
      <c r="D321" s="224" t="s">
        <v>305</v>
      </c>
      <c r="E321" s="203" t="s">
        <v>684</v>
      </c>
      <c r="F321" s="302" t="str">
        <f t="shared" si="36"/>
        <v>15/09/24</v>
      </c>
      <c r="G321" s="233">
        <f t="shared" si="39"/>
        <v>11</v>
      </c>
      <c r="H321" t="str">
        <f t="shared" si="38"/>
        <v>Cuarto Creciente</v>
      </c>
      <c r="J321">
        <f t="shared" si="37"/>
        <v>0</v>
      </c>
      <c r="K321" t="str">
        <f t="shared" si="40"/>
        <v>Domingo</v>
      </c>
      <c r="L321" s="203">
        <f t="shared" si="41"/>
        <v>15</v>
      </c>
    </row>
    <row r="322" spans="2:12">
      <c r="B322" s="224" t="s">
        <v>692</v>
      </c>
      <c r="C322" s="203" t="s">
        <v>684</v>
      </c>
      <c r="D322" s="224" t="s">
        <v>305</v>
      </c>
      <c r="E322" s="203" t="s">
        <v>684</v>
      </c>
      <c r="F322" s="302" t="str">
        <f t="shared" si="36"/>
        <v>16/09/24</v>
      </c>
      <c r="G322" s="233">
        <f t="shared" si="39"/>
        <v>12</v>
      </c>
      <c r="H322" t="str">
        <f t="shared" si="38"/>
        <v>Cuarto Creciente</v>
      </c>
      <c r="J322">
        <f t="shared" si="37"/>
        <v>1</v>
      </c>
      <c r="K322" t="str">
        <f t="shared" si="40"/>
        <v>Lunes</v>
      </c>
      <c r="L322" s="203">
        <f t="shared" si="41"/>
        <v>16</v>
      </c>
    </row>
    <row r="323" spans="2:12">
      <c r="B323" s="224" t="s">
        <v>693</v>
      </c>
      <c r="C323" s="203" t="s">
        <v>684</v>
      </c>
      <c r="D323" s="224" t="s">
        <v>305</v>
      </c>
      <c r="E323" s="203" t="s">
        <v>684</v>
      </c>
      <c r="F323" s="302" t="str">
        <f t="shared" si="36"/>
        <v>17/09/24</v>
      </c>
      <c r="G323" s="233">
        <f t="shared" si="39"/>
        <v>13</v>
      </c>
      <c r="H323" t="str">
        <f t="shared" si="38"/>
        <v>Cuarto Creciente</v>
      </c>
      <c r="J323">
        <f t="shared" si="37"/>
        <v>2</v>
      </c>
      <c r="K323" t="str">
        <f t="shared" si="40"/>
        <v>Martes</v>
      </c>
      <c r="L323" s="203">
        <f t="shared" si="41"/>
        <v>17</v>
      </c>
    </row>
    <row r="324" spans="2:12">
      <c r="B324" s="224" t="s">
        <v>695</v>
      </c>
      <c r="C324" s="203" t="s">
        <v>684</v>
      </c>
      <c r="D324" s="224" t="s">
        <v>305</v>
      </c>
      <c r="E324" s="203" t="s">
        <v>684</v>
      </c>
      <c r="F324" s="302" t="str">
        <f t="shared" si="36"/>
        <v>18/09/24</v>
      </c>
      <c r="G324" s="233">
        <f t="shared" si="39"/>
        <v>14</v>
      </c>
      <c r="H324" t="str">
        <f t="shared" si="38"/>
        <v>Luna Llena</v>
      </c>
      <c r="J324">
        <f t="shared" si="37"/>
        <v>3</v>
      </c>
      <c r="K324" t="str">
        <f t="shared" si="40"/>
        <v>Miércoles</v>
      </c>
      <c r="L324" s="203">
        <f t="shared" si="41"/>
        <v>18</v>
      </c>
    </row>
    <row r="325" spans="2:12">
      <c r="B325" s="224" t="s">
        <v>697</v>
      </c>
      <c r="C325" s="203" t="s">
        <v>684</v>
      </c>
      <c r="D325" s="224" t="s">
        <v>305</v>
      </c>
      <c r="E325" s="203" t="s">
        <v>684</v>
      </c>
      <c r="F325" s="302" t="str">
        <f t="shared" si="36"/>
        <v>19/09/24</v>
      </c>
      <c r="G325" s="233">
        <f t="shared" si="39"/>
        <v>15</v>
      </c>
      <c r="H325" t="str">
        <f t="shared" si="38"/>
        <v>Luna Llena</v>
      </c>
      <c r="J325">
        <f t="shared" si="37"/>
        <v>4</v>
      </c>
      <c r="K325" t="str">
        <f t="shared" si="40"/>
        <v>Jueves</v>
      </c>
      <c r="L325" s="203">
        <f t="shared" si="41"/>
        <v>19</v>
      </c>
    </row>
    <row r="326" spans="2:12">
      <c r="B326" s="224" t="s">
        <v>698</v>
      </c>
      <c r="C326" s="203" t="s">
        <v>684</v>
      </c>
      <c r="D326" s="224" t="s">
        <v>305</v>
      </c>
      <c r="E326" s="203" t="s">
        <v>684</v>
      </c>
      <c r="F326" s="302" t="str">
        <f t="shared" si="36"/>
        <v>20/09/24</v>
      </c>
      <c r="G326" s="233">
        <f t="shared" si="39"/>
        <v>16</v>
      </c>
      <c r="H326" t="str">
        <f t="shared" si="38"/>
        <v>Luna Llena</v>
      </c>
      <c r="J326">
        <f t="shared" si="37"/>
        <v>5</v>
      </c>
      <c r="K326" t="str">
        <f t="shared" si="40"/>
        <v>Viernes</v>
      </c>
      <c r="L326" s="203">
        <f t="shared" si="41"/>
        <v>20</v>
      </c>
    </row>
    <row r="327" spans="2:12">
      <c r="B327" s="224" t="s">
        <v>699</v>
      </c>
      <c r="C327" s="203" t="s">
        <v>684</v>
      </c>
      <c r="D327" s="224" t="s">
        <v>305</v>
      </c>
      <c r="E327" s="203" t="s">
        <v>684</v>
      </c>
      <c r="F327" s="302" t="str">
        <f t="shared" si="36"/>
        <v>21/09/24</v>
      </c>
      <c r="G327" s="233">
        <f t="shared" si="39"/>
        <v>17</v>
      </c>
      <c r="H327" t="str">
        <f t="shared" si="38"/>
        <v>Luna Llena</v>
      </c>
      <c r="J327">
        <f t="shared" si="37"/>
        <v>6</v>
      </c>
      <c r="K327" t="str">
        <f t="shared" si="40"/>
        <v>Sábado</v>
      </c>
      <c r="L327" s="203">
        <f t="shared" si="41"/>
        <v>21</v>
      </c>
    </row>
    <row r="328" spans="2:12">
      <c r="B328" s="224" t="s">
        <v>700</v>
      </c>
      <c r="C328" s="203" t="s">
        <v>684</v>
      </c>
      <c r="D328" s="224" t="s">
        <v>305</v>
      </c>
      <c r="E328" s="203" t="s">
        <v>684</v>
      </c>
      <c r="F328" s="302" t="str">
        <f t="shared" si="36"/>
        <v>22/09/24</v>
      </c>
      <c r="G328" s="233">
        <f t="shared" si="39"/>
        <v>18</v>
      </c>
      <c r="H328" t="str">
        <f t="shared" si="38"/>
        <v>Luna Llena</v>
      </c>
      <c r="J328">
        <f t="shared" si="37"/>
        <v>0</v>
      </c>
      <c r="K328" t="str">
        <f t="shared" si="40"/>
        <v>Domingo</v>
      </c>
      <c r="L328" s="203">
        <f t="shared" si="41"/>
        <v>22</v>
      </c>
    </row>
    <row r="329" spans="2:12">
      <c r="B329" s="224" t="s">
        <v>702</v>
      </c>
      <c r="C329" s="203" t="s">
        <v>684</v>
      </c>
      <c r="D329" s="224" t="s">
        <v>305</v>
      </c>
      <c r="E329" s="203" t="s">
        <v>684</v>
      </c>
      <c r="F329" s="302" t="str">
        <f t="shared" si="36"/>
        <v>23/09/24</v>
      </c>
      <c r="G329" s="233">
        <f t="shared" si="39"/>
        <v>19</v>
      </c>
      <c r="H329" t="str">
        <f t="shared" si="38"/>
        <v>Luna Llena</v>
      </c>
      <c r="J329">
        <f t="shared" si="37"/>
        <v>1</v>
      </c>
      <c r="K329" t="str">
        <f t="shared" si="40"/>
        <v>Lunes</v>
      </c>
      <c r="L329" s="203">
        <f t="shared" si="41"/>
        <v>23</v>
      </c>
    </row>
    <row r="330" spans="2:12">
      <c r="B330" s="224" t="s">
        <v>703</v>
      </c>
      <c r="C330" s="203" t="s">
        <v>684</v>
      </c>
      <c r="D330" s="224" t="s">
        <v>305</v>
      </c>
      <c r="E330" s="203" t="s">
        <v>684</v>
      </c>
      <c r="F330" s="302" t="str">
        <f t="shared" si="36"/>
        <v>24/09/24</v>
      </c>
      <c r="G330" s="233">
        <f t="shared" si="39"/>
        <v>20</v>
      </c>
      <c r="H330" t="str">
        <f t="shared" si="38"/>
        <v>Luna Llena</v>
      </c>
      <c r="J330">
        <f t="shared" si="37"/>
        <v>2</v>
      </c>
      <c r="K330" t="str">
        <f t="shared" si="40"/>
        <v>Martes</v>
      </c>
      <c r="L330" s="203">
        <f t="shared" si="41"/>
        <v>24</v>
      </c>
    </row>
    <row r="331" spans="2:12">
      <c r="B331" s="224" t="s">
        <v>704</v>
      </c>
      <c r="C331" s="203" t="s">
        <v>684</v>
      </c>
      <c r="D331" s="224" t="s">
        <v>305</v>
      </c>
      <c r="E331" s="203" t="s">
        <v>684</v>
      </c>
      <c r="F331" s="302" t="str">
        <f t="shared" si="36"/>
        <v>25/09/24</v>
      </c>
      <c r="G331" s="233">
        <f t="shared" si="39"/>
        <v>21</v>
      </c>
      <c r="H331" t="str">
        <f t="shared" si="38"/>
        <v>Cuarto Menguante</v>
      </c>
      <c r="J331">
        <f t="shared" si="37"/>
        <v>3</v>
      </c>
      <c r="K331" t="str">
        <f t="shared" si="40"/>
        <v>Miércoles</v>
      </c>
      <c r="L331" s="203">
        <f t="shared" si="41"/>
        <v>25</v>
      </c>
    </row>
    <row r="332" spans="2:12">
      <c r="B332" s="224" t="s">
        <v>705</v>
      </c>
      <c r="C332" s="203" t="s">
        <v>684</v>
      </c>
      <c r="D332" s="224" t="s">
        <v>305</v>
      </c>
      <c r="E332" s="203" t="s">
        <v>684</v>
      </c>
      <c r="F332" s="302" t="str">
        <f t="shared" si="36"/>
        <v>26/09/24</v>
      </c>
      <c r="G332" s="233">
        <f t="shared" si="39"/>
        <v>22</v>
      </c>
      <c r="H332" t="str">
        <f t="shared" si="38"/>
        <v>Cuarto Menguante</v>
      </c>
      <c r="J332">
        <f t="shared" si="37"/>
        <v>4</v>
      </c>
      <c r="K332" t="str">
        <f t="shared" si="40"/>
        <v>Jueves</v>
      </c>
      <c r="L332" s="203">
        <f t="shared" si="41"/>
        <v>26</v>
      </c>
    </row>
    <row r="333" spans="2:12">
      <c r="B333" s="224" t="s">
        <v>706</v>
      </c>
      <c r="C333" s="203" t="s">
        <v>684</v>
      </c>
      <c r="D333" s="224" t="s">
        <v>305</v>
      </c>
      <c r="E333" s="203" t="s">
        <v>684</v>
      </c>
      <c r="F333" s="302" t="str">
        <f t="shared" si="36"/>
        <v>27/09/24</v>
      </c>
      <c r="G333" s="233">
        <f t="shared" si="39"/>
        <v>23</v>
      </c>
      <c r="H333" t="str">
        <f t="shared" si="38"/>
        <v>Cuarto Menguante</v>
      </c>
      <c r="J333">
        <f t="shared" si="37"/>
        <v>5</v>
      </c>
      <c r="K333" t="str">
        <f t="shared" si="40"/>
        <v>Viernes</v>
      </c>
      <c r="L333" s="203">
        <f t="shared" si="41"/>
        <v>27</v>
      </c>
    </row>
    <row r="334" spans="2:12">
      <c r="B334" s="224" t="s">
        <v>708</v>
      </c>
      <c r="C334" s="203" t="s">
        <v>684</v>
      </c>
      <c r="D334" s="224" t="s">
        <v>305</v>
      </c>
      <c r="E334" s="203" t="s">
        <v>684</v>
      </c>
      <c r="F334" s="302" t="str">
        <f t="shared" si="36"/>
        <v>28/09/24</v>
      </c>
      <c r="G334" s="233">
        <f t="shared" si="39"/>
        <v>24</v>
      </c>
      <c r="H334" t="str">
        <f t="shared" si="38"/>
        <v>Cuarto Menguante</v>
      </c>
      <c r="J334">
        <f t="shared" si="37"/>
        <v>6</v>
      </c>
      <c r="K334" t="str">
        <f t="shared" si="40"/>
        <v>Sábado</v>
      </c>
      <c r="L334" s="203">
        <f t="shared" si="41"/>
        <v>28</v>
      </c>
    </row>
    <row r="335" spans="2:12">
      <c r="B335" s="224">
        <v>29</v>
      </c>
      <c r="C335" s="203" t="s">
        <v>684</v>
      </c>
      <c r="D335" s="224" t="s">
        <v>305</v>
      </c>
      <c r="E335" s="203" t="s">
        <v>684</v>
      </c>
      <c r="F335" s="302" t="str">
        <f t="shared" si="36"/>
        <v>29/09/24</v>
      </c>
      <c r="G335" s="233">
        <f t="shared" si="39"/>
        <v>25</v>
      </c>
      <c r="H335" t="str">
        <f t="shared" si="38"/>
        <v>Cuarto Menguante</v>
      </c>
      <c r="J335">
        <f t="shared" si="37"/>
        <v>0</v>
      </c>
      <c r="K335" t="str">
        <f t="shared" si="40"/>
        <v>Domingo</v>
      </c>
      <c r="L335" s="203">
        <f t="shared" si="41"/>
        <v>29</v>
      </c>
    </row>
    <row r="336" spans="2:12">
      <c r="B336" s="224">
        <v>30</v>
      </c>
      <c r="C336" s="203" t="s">
        <v>684</v>
      </c>
      <c r="D336" s="224" t="s">
        <v>305</v>
      </c>
      <c r="E336" s="203" t="s">
        <v>684</v>
      </c>
      <c r="F336" s="302" t="str">
        <f t="shared" si="36"/>
        <v>30/09/24</v>
      </c>
      <c r="G336" s="233">
        <f t="shared" si="39"/>
        <v>26</v>
      </c>
      <c r="H336" t="str">
        <f t="shared" si="38"/>
        <v>Cuarto Menguante</v>
      </c>
      <c r="J336">
        <f t="shared" si="37"/>
        <v>1</v>
      </c>
      <c r="K336" t="str">
        <f t="shared" si="40"/>
        <v>Lunes</v>
      </c>
      <c r="L336" s="203">
        <f t="shared" si="41"/>
        <v>30</v>
      </c>
    </row>
    <row r="337" spans="2:12">
      <c r="B337" s="224" t="s">
        <v>289</v>
      </c>
      <c r="C337" s="203" t="s">
        <v>684</v>
      </c>
      <c r="D337" s="224" t="s">
        <v>307</v>
      </c>
      <c r="E337" s="203" t="s">
        <v>684</v>
      </c>
      <c r="F337" s="302" t="str">
        <f t="shared" si="36"/>
        <v>01/10/24</v>
      </c>
      <c r="G337" s="233">
        <f t="shared" si="39"/>
        <v>27</v>
      </c>
      <c r="H337" t="str">
        <f t="shared" si="38"/>
        <v>Cuarto Menguante</v>
      </c>
      <c r="J337">
        <f t="shared" si="37"/>
        <v>2</v>
      </c>
      <c r="K337" t="str">
        <f t="shared" si="40"/>
        <v>Martes</v>
      </c>
      <c r="L337" s="203">
        <f t="shared" si="41"/>
        <v>1</v>
      </c>
    </row>
    <row r="338" spans="2:12">
      <c r="B338" s="224" t="s">
        <v>291</v>
      </c>
      <c r="C338" s="203" t="s">
        <v>684</v>
      </c>
      <c r="D338" s="224" t="s">
        <v>307</v>
      </c>
      <c r="E338" s="203" t="s">
        <v>684</v>
      </c>
      <c r="F338" s="302" t="str">
        <f t="shared" si="36"/>
        <v>02/10/24</v>
      </c>
      <c r="G338" s="233">
        <f t="shared" si="39"/>
        <v>28</v>
      </c>
      <c r="H338" t="str">
        <f t="shared" si="38"/>
        <v>Cuarto Menguante</v>
      </c>
      <c r="J338">
        <f t="shared" si="37"/>
        <v>3</v>
      </c>
      <c r="K338" t="str">
        <f t="shared" si="40"/>
        <v>Miércoles</v>
      </c>
      <c r="L338" s="203">
        <f t="shared" si="41"/>
        <v>2</v>
      </c>
    </row>
    <row r="339" spans="2:12">
      <c r="B339" s="224" t="s">
        <v>293</v>
      </c>
      <c r="C339" s="203" t="s">
        <v>684</v>
      </c>
      <c r="D339" s="224" t="s">
        <v>307</v>
      </c>
      <c r="E339" s="203" t="s">
        <v>684</v>
      </c>
      <c r="F339" s="302" t="str">
        <f t="shared" si="36"/>
        <v>03/10/24</v>
      </c>
      <c r="G339" s="233">
        <f t="shared" si="39"/>
        <v>29</v>
      </c>
      <c r="H339" t="str">
        <f t="shared" si="38"/>
        <v>Cuarto Menguante</v>
      </c>
      <c r="J339">
        <f t="shared" si="37"/>
        <v>4</v>
      </c>
      <c r="K339" t="str">
        <f t="shared" si="40"/>
        <v>Jueves</v>
      </c>
      <c r="L339" s="203">
        <f t="shared" si="41"/>
        <v>3</v>
      </c>
    </row>
    <row r="340" spans="2:12">
      <c r="B340" s="224" t="s">
        <v>295</v>
      </c>
      <c r="C340" s="203" t="s">
        <v>684</v>
      </c>
      <c r="D340" s="224" t="s">
        <v>307</v>
      </c>
      <c r="E340" s="203" t="s">
        <v>684</v>
      </c>
      <c r="F340" s="302" t="str">
        <f t="shared" si="36"/>
        <v>04/10/24</v>
      </c>
      <c r="G340" s="233">
        <f t="shared" si="39"/>
        <v>0</v>
      </c>
      <c r="H340" t="str">
        <f t="shared" si="38"/>
        <v>Luna Nueva</v>
      </c>
      <c r="J340">
        <f t="shared" si="37"/>
        <v>5</v>
      </c>
      <c r="K340" t="str">
        <f t="shared" si="40"/>
        <v>Viernes</v>
      </c>
      <c r="L340" s="203">
        <f t="shared" si="41"/>
        <v>4</v>
      </c>
    </row>
    <row r="341" spans="2:12">
      <c r="B341" s="224" t="s">
        <v>297</v>
      </c>
      <c r="C341" s="203" t="s">
        <v>684</v>
      </c>
      <c r="D341" s="224" t="s">
        <v>307</v>
      </c>
      <c r="E341" s="203" t="s">
        <v>684</v>
      </c>
      <c r="F341" s="302" t="str">
        <f t="shared" si="36"/>
        <v>05/10/24</v>
      </c>
      <c r="G341" s="233">
        <f t="shared" si="39"/>
        <v>1</v>
      </c>
      <c r="H341" t="str">
        <f t="shared" si="38"/>
        <v>Luna Nueva</v>
      </c>
      <c r="J341">
        <f t="shared" si="37"/>
        <v>6</v>
      </c>
      <c r="K341" t="str">
        <f t="shared" si="40"/>
        <v>Sábado</v>
      </c>
      <c r="L341" s="203">
        <f t="shared" si="41"/>
        <v>5</v>
      </c>
    </row>
    <row r="342" spans="2:12">
      <c r="B342" s="224" t="s">
        <v>299</v>
      </c>
      <c r="C342" s="203" t="s">
        <v>684</v>
      </c>
      <c r="D342" s="224" t="s">
        <v>307</v>
      </c>
      <c r="E342" s="203" t="s">
        <v>684</v>
      </c>
      <c r="F342" s="302" t="str">
        <f t="shared" si="36"/>
        <v>06/10/24</v>
      </c>
      <c r="G342" s="233">
        <f t="shared" si="39"/>
        <v>2</v>
      </c>
      <c r="H342" t="str">
        <f t="shared" si="38"/>
        <v>Luna Nueva</v>
      </c>
      <c r="J342">
        <f t="shared" si="37"/>
        <v>0</v>
      </c>
      <c r="K342" t="str">
        <f t="shared" si="40"/>
        <v>Domingo</v>
      </c>
      <c r="L342" s="203">
        <f t="shared" si="41"/>
        <v>6</v>
      </c>
    </row>
    <row r="343" spans="2:12">
      <c r="B343" s="224" t="s">
        <v>301</v>
      </c>
      <c r="C343" s="203" t="s">
        <v>684</v>
      </c>
      <c r="D343" s="224" t="s">
        <v>307</v>
      </c>
      <c r="E343" s="203" t="s">
        <v>684</v>
      </c>
      <c r="F343" s="302" t="str">
        <f t="shared" si="36"/>
        <v>07/10/24</v>
      </c>
      <c r="G343" s="233">
        <f t="shared" si="39"/>
        <v>3</v>
      </c>
      <c r="H343" t="str">
        <f t="shared" si="38"/>
        <v>Luna Nueva</v>
      </c>
      <c r="J343">
        <f t="shared" si="37"/>
        <v>1</v>
      </c>
      <c r="K343" t="str">
        <f t="shared" si="40"/>
        <v>Lunes</v>
      </c>
      <c r="L343" s="203">
        <f t="shared" si="41"/>
        <v>7</v>
      </c>
    </row>
    <row r="344" spans="2:12">
      <c r="B344" s="224" t="s">
        <v>303</v>
      </c>
      <c r="C344" s="203" t="s">
        <v>684</v>
      </c>
      <c r="D344" s="224" t="s">
        <v>307</v>
      </c>
      <c r="E344" s="203" t="s">
        <v>684</v>
      </c>
      <c r="F344" s="302" t="str">
        <f t="shared" si="36"/>
        <v>08/10/24</v>
      </c>
      <c r="G344" s="233">
        <f t="shared" si="39"/>
        <v>4</v>
      </c>
      <c r="H344" t="str">
        <f t="shared" si="38"/>
        <v>Luna Nueva</v>
      </c>
      <c r="J344">
        <f t="shared" si="37"/>
        <v>2</v>
      </c>
      <c r="K344" t="str">
        <f t="shared" si="40"/>
        <v>Martes</v>
      </c>
      <c r="L344" s="203">
        <f t="shared" si="41"/>
        <v>8</v>
      </c>
    </row>
    <row r="345" spans="2:12">
      <c r="B345" s="224" t="s">
        <v>305</v>
      </c>
      <c r="C345" s="203" t="s">
        <v>684</v>
      </c>
      <c r="D345" s="224" t="s">
        <v>307</v>
      </c>
      <c r="E345" s="203" t="s">
        <v>684</v>
      </c>
      <c r="F345" s="302" t="str">
        <f t="shared" si="36"/>
        <v>09/10/24</v>
      </c>
      <c r="G345" s="233">
        <f t="shared" si="39"/>
        <v>5</v>
      </c>
      <c r="H345" t="str">
        <f t="shared" si="38"/>
        <v>Luna Nueva</v>
      </c>
      <c r="J345">
        <f t="shared" si="37"/>
        <v>3</v>
      </c>
      <c r="K345" t="str">
        <f t="shared" si="40"/>
        <v>Miércoles</v>
      </c>
      <c r="L345" s="203">
        <f t="shared" si="41"/>
        <v>9</v>
      </c>
    </row>
    <row r="346" spans="2:12">
      <c r="B346" s="224" t="s">
        <v>307</v>
      </c>
      <c r="C346" s="203" t="s">
        <v>684</v>
      </c>
      <c r="D346" s="224" t="s">
        <v>307</v>
      </c>
      <c r="E346" s="203" t="s">
        <v>684</v>
      </c>
      <c r="F346" s="302" t="str">
        <f t="shared" si="36"/>
        <v>10/10/24</v>
      </c>
      <c r="G346" s="233">
        <f t="shared" si="39"/>
        <v>6</v>
      </c>
      <c r="H346" t="str">
        <f t="shared" si="38"/>
        <v>Cuarto Creciente</v>
      </c>
      <c r="J346">
        <f t="shared" si="37"/>
        <v>4</v>
      </c>
      <c r="K346" t="str">
        <f t="shared" si="40"/>
        <v>Jueves</v>
      </c>
      <c r="L346" s="203">
        <f t="shared" si="41"/>
        <v>10</v>
      </c>
    </row>
    <row r="347" spans="2:12">
      <c r="B347" s="224" t="s">
        <v>309</v>
      </c>
      <c r="C347" s="203" t="s">
        <v>684</v>
      </c>
      <c r="D347" s="224" t="s">
        <v>307</v>
      </c>
      <c r="E347" s="203" t="s">
        <v>684</v>
      </c>
      <c r="F347" s="302" t="str">
        <f t="shared" si="36"/>
        <v>11/10/24</v>
      </c>
      <c r="G347" s="233">
        <f t="shared" si="39"/>
        <v>7</v>
      </c>
      <c r="H347" t="str">
        <f t="shared" si="38"/>
        <v>Cuarto Creciente</v>
      </c>
      <c r="J347">
        <f t="shared" si="37"/>
        <v>5</v>
      </c>
      <c r="K347" t="str">
        <f t="shared" si="40"/>
        <v>Viernes</v>
      </c>
      <c r="L347" s="203">
        <f t="shared" si="41"/>
        <v>11</v>
      </c>
    </row>
    <row r="348" spans="2:12">
      <c r="B348" s="224" t="s">
        <v>311</v>
      </c>
      <c r="C348" s="203" t="s">
        <v>684</v>
      </c>
      <c r="D348" s="224" t="s">
        <v>307</v>
      </c>
      <c r="E348" s="203" t="s">
        <v>684</v>
      </c>
      <c r="F348" s="302" t="str">
        <f t="shared" si="36"/>
        <v>12/10/24</v>
      </c>
      <c r="G348" s="233">
        <f t="shared" si="39"/>
        <v>8</v>
      </c>
      <c r="H348" t="str">
        <f t="shared" si="38"/>
        <v>Cuarto Creciente</v>
      </c>
      <c r="J348">
        <f t="shared" si="37"/>
        <v>6</v>
      </c>
      <c r="K348" t="str">
        <f t="shared" si="40"/>
        <v>Sábado</v>
      </c>
      <c r="L348" s="203">
        <f t="shared" si="41"/>
        <v>12</v>
      </c>
    </row>
    <row r="349" spans="2:12">
      <c r="B349" s="224" t="s">
        <v>688</v>
      </c>
      <c r="C349" s="203" t="s">
        <v>684</v>
      </c>
      <c r="D349" s="224" t="s">
        <v>307</v>
      </c>
      <c r="E349" s="203" t="s">
        <v>684</v>
      </c>
      <c r="F349" s="302" t="str">
        <f t="shared" si="36"/>
        <v>13/10/24</v>
      </c>
      <c r="G349" s="233">
        <f t="shared" si="39"/>
        <v>9</v>
      </c>
      <c r="H349" t="str">
        <f t="shared" si="38"/>
        <v>Cuarto Creciente</v>
      </c>
      <c r="J349">
        <f t="shared" si="37"/>
        <v>0</v>
      </c>
      <c r="K349" t="str">
        <f t="shared" si="40"/>
        <v>Domingo</v>
      </c>
      <c r="L349" s="203">
        <f t="shared" si="41"/>
        <v>13</v>
      </c>
    </row>
    <row r="350" spans="2:12">
      <c r="B350" s="224" t="s">
        <v>689</v>
      </c>
      <c r="C350" s="203" t="s">
        <v>684</v>
      </c>
      <c r="D350" s="224" t="s">
        <v>307</v>
      </c>
      <c r="E350" s="203" t="s">
        <v>684</v>
      </c>
      <c r="F350" s="302" t="str">
        <f t="shared" si="36"/>
        <v>14/10/24</v>
      </c>
      <c r="G350" s="233">
        <f t="shared" si="39"/>
        <v>10</v>
      </c>
      <c r="H350" t="str">
        <f t="shared" si="38"/>
        <v>Cuarto Creciente</v>
      </c>
      <c r="J350">
        <f t="shared" si="37"/>
        <v>1</v>
      </c>
      <c r="K350" t="str">
        <f t="shared" si="40"/>
        <v>Lunes</v>
      </c>
      <c r="L350" s="203">
        <f t="shared" si="41"/>
        <v>14</v>
      </c>
    </row>
    <row r="351" spans="2:12">
      <c r="B351" s="224" t="s">
        <v>690</v>
      </c>
      <c r="C351" s="203" t="s">
        <v>684</v>
      </c>
      <c r="D351" s="224" t="s">
        <v>307</v>
      </c>
      <c r="E351" s="203" t="s">
        <v>684</v>
      </c>
      <c r="F351" s="302" t="str">
        <f t="shared" si="36"/>
        <v>15/10/24</v>
      </c>
      <c r="G351" s="233">
        <f t="shared" si="39"/>
        <v>11</v>
      </c>
      <c r="H351" t="str">
        <f t="shared" si="38"/>
        <v>Cuarto Creciente</v>
      </c>
      <c r="J351">
        <f t="shared" si="37"/>
        <v>2</v>
      </c>
      <c r="K351" t="str">
        <f t="shared" si="40"/>
        <v>Martes</v>
      </c>
      <c r="L351" s="203">
        <f t="shared" si="41"/>
        <v>15</v>
      </c>
    </row>
    <row r="352" spans="2:12">
      <c r="B352" s="224" t="s">
        <v>692</v>
      </c>
      <c r="C352" s="203" t="s">
        <v>684</v>
      </c>
      <c r="D352" s="224" t="s">
        <v>307</v>
      </c>
      <c r="E352" s="203" t="s">
        <v>684</v>
      </c>
      <c r="F352" s="302" t="str">
        <f t="shared" si="36"/>
        <v>16/10/24</v>
      </c>
      <c r="G352" s="233">
        <f t="shared" si="39"/>
        <v>12</v>
      </c>
      <c r="H352" t="str">
        <f t="shared" si="38"/>
        <v>Cuarto Creciente</v>
      </c>
      <c r="J352">
        <f t="shared" si="37"/>
        <v>3</v>
      </c>
      <c r="K352" t="str">
        <f t="shared" si="40"/>
        <v>Miércoles</v>
      </c>
      <c r="L352" s="203">
        <f t="shared" si="41"/>
        <v>16</v>
      </c>
    </row>
    <row r="353" spans="2:12">
      <c r="B353" s="224" t="s">
        <v>693</v>
      </c>
      <c r="C353" s="203" t="s">
        <v>684</v>
      </c>
      <c r="D353" s="224" t="s">
        <v>307</v>
      </c>
      <c r="E353" s="203" t="s">
        <v>684</v>
      </c>
      <c r="F353" s="302" t="str">
        <f t="shared" si="36"/>
        <v>17/10/24</v>
      </c>
      <c r="G353" s="233">
        <f t="shared" si="39"/>
        <v>13</v>
      </c>
      <c r="H353" t="str">
        <f t="shared" si="38"/>
        <v>Cuarto Creciente</v>
      </c>
      <c r="J353">
        <f t="shared" si="37"/>
        <v>4</v>
      </c>
      <c r="K353" t="str">
        <f t="shared" si="40"/>
        <v>Jueves</v>
      </c>
      <c r="L353" s="203">
        <f t="shared" si="41"/>
        <v>17</v>
      </c>
    </row>
    <row r="354" spans="2:12">
      <c r="B354" s="224" t="s">
        <v>695</v>
      </c>
      <c r="C354" s="203" t="s">
        <v>684</v>
      </c>
      <c r="D354" s="224" t="s">
        <v>307</v>
      </c>
      <c r="E354" s="203" t="s">
        <v>684</v>
      </c>
      <c r="F354" s="302" t="str">
        <f t="shared" si="36"/>
        <v>18/10/24</v>
      </c>
      <c r="G354" s="233">
        <f t="shared" si="39"/>
        <v>14</v>
      </c>
      <c r="H354" t="str">
        <f t="shared" si="38"/>
        <v>Luna Llena</v>
      </c>
      <c r="J354">
        <f t="shared" si="37"/>
        <v>5</v>
      </c>
      <c r="K354" t="str">
        <f t="shared" si="40"/>
        <v>Viernes</v>
      </c>
      <c r="L354" s="203">
        <f t="shared" si="41"/>
        <v>18</v>
      </c>
    </row>
    <row r="355" spans="2:12">
      <c r="B355" s="224" t="s">
        <v>697</v>
      </c>
      <c r="C355" s="203" t="s">
        <v>684</v>
      </c>
      <c r="D355" s="224" t="s">
        <v>307</v>
      </c>
      <c r="E355" s="203" t="s">
        <v>684</v>
      </c>
      <c r="F355" s="302" t="str">
        <f t="shared" si="36"/>
        <v>19/10/24</v>
      </c>
      <c r="G355" s="233">
        <f t="shared" si="39"/>
        <v>15</v>
      </c>
      <c r="H355" t="str">
        <f t="shared" si="38"/>
        <v>Luna Llena</v>
      </c>
      <c r="J355">
        <f t="shared" si="37"/>
        <v>6</v>
      </c>
      <c r="K355" t="str">
        <f t="shared" si="40"/>
        <v>Sábado</v>
      </c>
      <c r="L355" s="203">
        <f t="shared" si="41"/>
        <v>19</v>
      </c>
    </row>
    <row r="356" spans="2:12">
      <c r="B356" s="224" t="s">
        <v>698</v>
      </c>
      <c r="C356" s="203" t="s">
        <v>684</v>
      </c>
      <c r="D356" s="224" t="s">
        <v>307</v>
      </c>
      <c r="E356" s="203" t="s">
        <v>684</v>
      </c>
      <c r="F356" s="302" t="str">
        <f t="shared" si="36"/>
        <v>20/10/24</v>
      </c>
      <c r="G356" s="233">
        <f t="shared" si="39"/>
        <v>16</v>
      </c>
      <c r="H356" t="str">
        <f t="shared" si="38"/>
        <v>Luna Llena</v>
      </c>
      <c r="J356">
        <f t="shared" si="37"/>
        <v>0</v>
      </c>
      <c r="K356" t="str">
        <f t="shared" si="40"/>
        <v>Domingo</v>
      </c>
      <c r="L356" s="203">
        <f t="shared" si="41"/>
        <v>20</v>
      </c>
    </row>
    <row r="357" spans="2:12">
      <c r="B357" s="224" t="s">
        <v>699</v>
      </c>
      <c r="C357" s="203" t="s">
        <v>684</v>
      </c>
      <c r="D357" s="224" t="s">
        <v>307</v>
      </c>
      <c r="E357" s="203" t="s">
        <v>684</v>
      </c>
      <c r="F357" s="302" t="str">
        <f t="shared" si="36"/>
        <v>21/10/24</v>
      </c>
      <c r="G357" s="233">
        <f t="shared" si="39"/>
        <v>17</v>
      </c>
      <c r="H357" t="str">
        <f t="shared" si="38"/>
        <v>Luna Llena</v>
      </c>
      <c r="J357">
        <f t="shared" si="37"/>
        <v>1</v>
      </c>
      <c r="K357" t="str">
        <f t="shared" si="40"/>
        <v>Lunes</v>
      </c>
      <c r="L357" s="203">
        <f t="shared" si="41"/>
        <v>21</v>
      </c>
    </row>
    <row r="358" spans="2:12">
      <c r="B358" s="224" t="s">
        <v>700</v>
      </c>
      <c r="C358" s="203" t="s">
        <v>684</v>
      </c>
      <c r="D358" s="224" t="s">
        <v>307</v>
      </c>
      <c r="E358" s="203" t="s">
        <v>684</v>
      </c>
      <c r="F358" s="302" t="str">
        <f t="shared" si="36"/>
        <v>22/10/24</v>
      </c>
      <c r="G358" s="233">
        <f t="shared" si="39"/>
        <v>18</v>
      </c>
      <c r="H358" t="str">
        <f t="shared" si="38"/>
        <v>Luna Llena</v>
      </c>
      <c r="J358">
        <f t="shared" si="37"/>
        <v>2</v>
      </c>
      <c r="K358" t="str">
        <f t="shared" si="40"/>
        <v>Martes</v>
      </c>
      <c r="L358" s="203">
        <f t="shared" si="41"/>
        <v>22</v>
      </c>
    </row>
    <row r="359" spans="2:12">
      <c r="B359" s="224" t="s">
        <v>702</v>
      </c>
      <c r="C359" s="203" t="s">
        <v>684</v>
      </c>
      <c r="D359" s="224" t="s">
        <v>307</v>
      </c>
      <c r="E359" s="203" t="s">
        <v>684</v>
      </c>
      <c r="F359" s="302" t="str">
        <f t="shared" si="36"/>
        <v>23/10/24</v>
      </c>
      <c r="G359" s="233">
        <f t="shared" si="39"/>
        <v>19</v>
      </c>
      <c r="H359" t="str">
        <f t="shared" si="38"/>
        <v>Luna Llena</v>
      </c>
      <c r="J359">
        <f t="shared" si="37"/>
        <v>3</v>
      </c>
      <c r="K359" t="str">
        <f t="shared" si="40"/>
        <v>Miércoles</v>
      </c>
      <c r="L359" s="203">
        <f t="shared" si="41"/>
        <v>23</v>
      </c>
    </row>
    <row r="360" spans="2:12">
      <c r="B360" s="224" t="s">
        <v>703</v>
      </c>
      <c r="C360" s="203" t="s">
        <v>684</v>
      </c>
      <c r="D360" s="224" t="s">
        <v>307</v>
      </c>
      <c r="E360" s="203" t="s">
        <v>684</v>
      </c>
      <c r="F360" s="302" t="str">
        <f t="shared" si="36"/>
        <v>24/10/24</v>
      </c>
      <c r="G360" s="233">
        <f t="shared" si="39"/>
        <v>20</v>
      </c>
      <c r="H360" t="str">
        <f t="shared" si="38"/>
        <v>Luna Llena</v>
      </c>
      <c r="J360">
        <f t="shared" si="37"/>
        <v>4</v>
      </c>
      <c r="K360" t="str">
        <f t="shared" si="40"/>
        <v>Jueves</v>
      </c>
      <c r="L360" s="203">
        <f t="shared" si="41"/>
        <v>24</v>
      </c>
    </row>
    <row r="361" spans="2:12">
      <c r="B361" s="224" t="s">
        <v>704</v>
      </c>
      <c r="C361" s="203" t="s">
        <v>684</v>
      </c>
      <c r="D361" s="224" t="s">
        <v>307</v>
      </c>
      <c r="E361" s="203" t="s">
        <v>684</v>
      </c>
      <c r="F361" s="302" t="str">
        <f t="shared" si="36"/>
        <v>25/10/24</v>
      </c>
      <c r="G361" s="233">
        <f t="shared" si="39"/>
        <v>21</v>
      </c>
      <c r="H361" t="str">
        <f t="shared" si="38"/>
        <v>Cuarto Menguante</v>
      </c>
      <c r="J361">
        <f t="shared" si="37"/>
        <v>5</v>
      </c>
      <c r="K361" t="str">
        <f t="shared" si="40"/>
        <v>Viernes</v>
      </c>
      <c r="L361" s="203">
        <f t="shared" si="41"/>
        <v>25</v>
      </c>
    </row>
    <row r="362" spans="2:12">
      <c r="B362" s="224" t="s">
        <v>705</v>
      </c>
      <c r="C362" s="203" t="s">
        <v>684</v>
      </c>
      <c r="D362" s="224" t="s">
        <v>307</v>
      </c>
      <c r="E362" s="203" t="s">
        <v>684</v>
      </c>
      <c r="F362" s="302" t="str">
        <f t="shared" si="36"/>
        <v>26/10/24</v>
      </c>
      <c r="G362" s="233">
        <f t="shared" si="39"/>
        <v>22</v>
      </c>
      <c r="H362" t="str">
        <f t="shared" si="38"/>
        <v>Cuarto Menguante</v>
      </c>
      <c r="J362">
        <f t="shared" si="37"/>
        <v>6</v>
      </c>
      <c r="K362" t="str">
        <f t="shared" si="40"/>
        <v>Sábado</v>
      </c>
      <c r="L362" s="203">
        <f t="shared" si="41"/>
        <v>26</v>
      </c>
    </row>
    <row r="363" spans="2:12">
      <c r="B363" s="224" t="s">
        <v>706</v>
      </c>
      <c r="C363" s="203" t="s">
        <v>684</v>
      </c>
      <c r="D363" s="224" t="s">
        <v>307</v>
      </c>
      <c r="E363" s="203" t="s">
        <v>684</v>
      </c>
      <c r="F363" s="302" t="str">
        <f t="shared" si="36"/>
        <v>27/10/24</v>
      </c>
      <c r="G363" s="233">
        <f t="shared" si="39"/>
        <v>23</v>
      </c>
      <c r="H363" t="str">
        <f t="shared" si="38"/>
        <v>Cuarto Menguante</v>
      </c>
      <c r="J363">
        <f t="shared" si="37"/>
        <v>0</v>
      </c>
      <c r="K363" t="str">
        <f t="shared" si="40"/>
        <v>Domingo</v>
      </c>
      <c r="L363" s="203">
        <f t="shared" si="41"/>
        <v>27</v>
      </c>
    </row>
    <row r="364" spans="2:12">
      <c r="B364" s="224" t="s">
        <v>708</v>
      </c>
      <c r="C364" s="203" t="s">
        <v>684</v>
      </c>
      <c r="D364" s="224" t="s">
        <v>307</v>
      </c>
      <c r="E364" s="203" t="s">
        <v>684</v>
      </c>
      <c r="F364" s="302" t="str">
        <f t="shared" si="36"/>
        <v>28/10/24</v>
      </c>
      <c r="G364" s="233">
        <f t="shared" si="39"/>
        <v>24</v>
      </c>
      <c r="H364" t="str">
        <f t="shared" si="38"/>
        <v>Cuarto Menguante</v>
      </c>
      <c r="J364">
        <f t="shared" si="37"/>
        <v>1</v>
      </c>
      <c r="K364" t="str">
        <f t="shared" si="40"/>
        <v>Lunes</v>
      </c>
      <c r="L364" s="203">
        <f t="shared" si="41"/>
        <v>28</v>
      </c>
    </row>
    <row r="365" spans="2:12">
      <c r="B365" s="224">
        <v>29</v>
      </c>
      <c r="C365" s="203" t="s">
        <v>684</v>
      </c>
      <c r="D365" s="224" t="s">
        <v>307</v>
      </c>
      <c r="E365" s="203" t="s">
        <v>684</v>
      </c>
      <c r="F365" s="302" t="str">
        <f t="shared" si="36"/>
        <v>29/10/24</v>
      </c>
      <c r="G365" s="233">
        <f t="shared" si="39"/>
        <v>25</v>
      </c>
      <c r="H365" t="str">
        <f t="shared" si="38"/>
        <v>Cuarto Menguante</v>
      </c>
      <c r="J365">
        <f t="shared" si="37"/>
        <v>2</v>
      </c>
      <c r="K365" t="str">
        <f t="shared" si="40"/>
        <v>Martes</v>
      </c>
      <c r="L365" s="203">
        <f t="shared" si="41"/>
        <v>29</v>
      </c>
    </row>
    <row r="366" spans="2:12">
      <c r="B366" s="224">
        <v>30</v>
      </c>
      <c r="C366" s="203" t="s">
        <v>684</v>
      </c>
      <c r="D366" s="224" t="s">
        <v>307</v>
      </c>
      <c r="E366" s="203" t="s">
        <v>684</v>
      </c>
      <c r="F366" s="302" t="str">
        <f t="shared" si="36"/>
        <v>30/10/24</v>
      </c>
      <c r="G366" s="233">
        <f t="shared" si="39"/>
        <v>26</v>
      </c>
      <c r="H366" t="str">
        <f t="shared" si="38"/>
        <v>Cuarto Menguante</v>
      </c>
      <c r="J366">
        <f t="shared" si="37"/>
        <v>3</v>
      </c>
      <c r="K366" t="str">
        <f t="shared" si="40"/>
        <v>Miércoles</v>
      </c>
      <c r="L366" s="203">
        <f t="shared" si="41"/>
        <v>30</v>
      </c>
    </row>
    <row r="367" spans="2:12">
      <c r="B367" s="224">
        <v>31</v>
      </c>
      <c r="C367" s="203" t="s">
        <v>684</v>
      </c>
      <c r="D367" s="224" t="s">
        <v>307</v>
      </c>
      <c r="E367" s="203" t="s">
        <v>684</v>
      </c>
      <c r="F367" s="302" t="str">
        <f t="shared" si="36"/>
        <v>31/10/24</v>
      </c>
      <c r="G367" s="233">
        <f t="shared" si="39"/>
        <v>27</v>
      </c>
      <c r="H367" t="str">
        <f t="shared" si="38"/>
        <v>Cuarto Menguante</v>
      </c>
      <c r="J367">
        <f t="shared" si="37"/>
        <v>4</v>
      </c>
      <c r="K367" t="str">
        <f t="shared" si="40"/>
        <v>Jueves</v>
      </c>
      <c r="L367" s="203">
        <f t="shared" si="41"/>
        <v>31</v>
      </c>
    </row>
    <row r="368" spans="2:12">
      <c r="B368" s="224" t="s">
        <v>289</v>
      </c>
      <c r="C368" s="203" t="s">
        <v>684</v>
      </c>
      <c r="D368" s="224" t="s">
        <v>309</v>
      </c>
      <c r="E368" s="203" t="s">
        <v>684</v>
      </c>
      <c r="F368" s="302" t="str">
        <f t="shared" si="36"/>
        <v>01/11/24</v>
      </c>
      <c r="G368" s="233">
        <f t="shared" si="39"/>
        <v>29</v>
      </c>
      <c r="H368" t="str">
        <f t="shared" si="38"/>
        <v>Cuarto Menguante</v>
      </c>
      <c r="J368">
        <f t="shared" si="37"/>
        <v>5</v>
      </c>
      <c r="K368" t="str">
        <f t="shared" si="40"/>
        <v>Viernes</v>
      </c>
      <c r="L368" s="203">
        <f t="shared" si="41"/>
        <v>1</v>
      </c>
    </row>
    <row r="369" spans="2:12">
      <c r="B369" s="224" t="s">
        <v>291</v>
      </c>
      <c r="C369" s="203" t="s">
        <v>684</v>
      </c>
      <c r="D369" s="224" t="s">
        <v>309</v>
      </c>
      <c r="E369" s="203" t="s">
        <v>684</v>
      </c>
      <c r="F369" s="302" t="str">
        <f t="shared" si="36"/>
        <v>02/11/24</v>
      </c>
      <c r="G369" s="233">
        <f t="shared" si="39"/>
        <v>0</v>
      </c>
      <c r="H369" t="str">
        <f t="shared" si="38"/>
        <v>Luna Nueva</v>
      </c>
      <c r="J369">
        <f t="shared" si="37"/>
        <v>6</v>
      </c>
      <c r="K369" t="str">
        <f t="shared" si="40"/>
        <v>Sábado</v>
      </c>
      <c r="L369" s="203">
        <f t="shared" si="41"/>
        <v>2</v>
      </c>
    </row>
    <row r="370" spans="2:12">
      <c r="B370" s="224" t="s">
        <v>293</v>
      </c>
      <c r="C370" s="203" t="s">
        <v>684</v>
      </c>
      <c r="D370" s="224" t="s">
        <v>309</v>
      </c>
      <c r="E370" s="203" t="s">
        <v>684</v>
      </c>
      <c r="F370" s="302" t="str">
        <f t="shared" si="36"/>
        <v>03/11/24</v>
      </c>
      <c r="G370" s="233">
        <f t="shared" si="39"/>
        <v>1</v>
      </c>
      <c r="H370" t="str">
        <f t="shared" si="38"/>
        <v>Luna Nueva</v>
      </c>
      <c r="J370">
        <f t="shared" si="37"/>
        <v>0</v>
      </c>
      <c r="K370" t="str">
        <f t="shared" si="40"/>
        <v>Domingo</v>
      </c>
      <c r="L370" s="203">
        <f t="shared" si="41"/>
        <v>3</v>
      </c>
    </row>
    <row r="371" spans="2:12">
      <c r="B371" s="224" t="s">
        <v>295</v>
      </c>
      <c r="C371" s="203" t="s">
        <v>684</v>
      </c>
      <c r="D371" s="224" t="s">
        <v>309</v>
      </c>
      <c r="E371" s="203" t="s">
        <v>684</v>
      </c>
      <c r="F371" s="302" t="str">
        <f t="shared" si="36"/>
        <v>04/11/24</v>
      </c>
      <c r="G371" s="233">
        <f t="shared" si="39"/>
        <v>2</v>
      </c>
      <c r="H371" t="str">
        <f t="shared" si="38"/>
        <v>Luna Nueva</v>
      </c>
      <c r="J371">
        <f t="shared" si="37"/>
        <v>1</v>
      </c>
      <c r="K371" t="str">
        <f t="shared" si="40"/>
        <v>Lunes</v>
      </c>
      <c r="L371" s="203">
        <f t="shared" si="41"/>
        <v>4</v>
      </c>
    </row>
    <row r="372" spans="2:12">
      <c r="B372" s="224" t="s">
        <v>297</v>
      </c>
      <c r="C372" s="203" t="s">
        <v>684</v>
      </c>
      <c r="D372" s="224" t="s">
        <v>309</v>
      </c>
      <c r="E372" s="203" t="s">
        <v>684</v>
      </c>
      <c r="F372" s="302" t="str">
        <f t="shared" si="36"/>
        <v>05/11/24</v>
      </c>
      <c r="G372" s="233">
        <f t="shared" si="39"/>
        <v>3</v>
      </c>
      <c r="H372" t="str">
        <f t="shared" si="38"/>
        <v>Luna Nueva</v>
      </c>
      <c r="J372">
        <f t="shared" si="37"/>
        <v>2</v>
      </c>
      <c r="K372" t="str">
        <f t="shared" si="40"/>
        <v>Martes</v>
      </c>
      <c r="L372" s="203">
        <f t="shared" si="41"/>
        <v>5</v>
      </c>
    </row>
    <row r="373" spans="2:12">
      <c r="B373" s="224" t="s">
        <v>299</v>
      </c>
      <c r="C373" s="203" t="s">
        <v>684</v>
      </c>
      <c r="D373" s="224" t="s">
        <v>309</v>
      </c>
      <c r="E373" s="203" t="s">
        <v>684</v>
      </c>
      <c r="F373" s="302" t="str">
        <f t="shared" si="36"/>
        <v>06/11/24</v>
      </c>
      <c r="G373" s="233">
        <f t="shared" si="39"/>
        <v>4</v>
      </c>
      <c r="H373" t="str">
        <f t="shared" si="38"/>
        <v>Luna Nueva</v>
      </c>
      <c r="J373">
        <f t="shared" si="37"/>
        <v>3</v>
      </c>
      <c r="K373" t="str">
        <f t="shared" si="40"/>
        <v>Miércoles</v>
      </c>
      <c r="L373" s="203">
        <f t="shared" si="41"/>
        <v>6</v>
      </c>
    </row>
    <row r="374" spans="2:12">
      <c r="B374" s="224" t="s">
        <v>301</v>
      </c>
      <c r="C374" s="203" t="s">
        <v>684</v>
      </c>
      <c r="D374" s="224" t="s">
        <v>309</v>
      </c>
      <c r="E374" s="203" t="s">
        <v>684</v>
      </c>
      <c r="F374" s="302" t="str">
        <f t="shared" si="36"/>
        <v>07/11/24</v>
      </c>
      <c r="G374" s="233">
        <f t="shared" si="39"/>
        <v>5</v>
      </c>
      <c r="H374" t="str">
        <f t="shared" si="38"/>
        <v>Luna Nueva</v>
      </c>
      <c r="J374">
        <f t="shared" si="37"/>
        <v>4</v>
      </c>
      <c r="K374" t="str">
        <f t="shared" si="40"/>
        <v>Jueves</v>
      </c>
      <c r="L374" s="203">
        <f t="shared" si="41"/>
        <v>7</v>
      </c>
    </row>
    <row r="375" spans="2:12">
      <c r="B375" s="224" t="s">
        <v>303</v>
      </c>
      <c r="C375" s="203" t="s">
        <v>684</v>
      </c>
      <c r="D375" s="224" t="s">
        <v>309</v>
      </c>
      <c r="E375" s="203" t="s">
        <v>684</v>
      </c>
      <c r="F375" s="302" t="str">
        <f t="shared" si="36"/>
        <v>08/11/24</v>
      </c>
      <c r="G375" s="233">
        <f t="shared" si="39"/>
        <v>6</v>
      </c>
      <c r="H375" t="str">
        <f t="shared" si="38"/>
        <v>Cuarto Creciente</v>
      </c>
      <c r="J375">
        <f t="shared" si="37"/>
        <v>5</v>
      </c>
      <c r="K375" t="str">
        <f t="shared" si="40"/>
        <v>Viernes</v>
      </c>
      <c r="L375" s="203">
        <f t="shared" si="41"/>
        <v>8</v>
      </c>
    </row>
    <row r="376" spans="2:12">
      <c r="B376" s="224" t="s">
        <v>305</v>
      </c>
      <c r="C376" s="203" t="s">
        <v>684</v>
      </c>
      <c r="D376" s="224" t="s">
        <v>309</v>
      </c>
      <c r="E376" s="203" t="s">
        <v>684</v>
      </c>
      <c r="F376" s="302" t="str">
        <f t="shared" si="36"/>
        <v>09/11/24</v>
      </c>
      <c r="G376" s="233">
        <f t="shared" si="39"/>
        <v>7</v>
      </c>
      <c r="H376" t="str">
        <f t="shared" si="38"/>
        <v>Cuarto Creciente</v>
      </c>
      <c r="J376">
        <f t="shared" si="37"/>
        <v>6</v>
      </c>
      <c r="K376" t="str">
        <f t="shared" si="40"/>
        <v>Sábado</v>
      </c>
      <c r="L376" s="203">
        <f t="shared" si="41"/>
        <v>9</v>
      </c>
    </row>
    <row r="377" spans="2:12">
      <c r="B377" s="224" t="s">
        <v>307</v>
      </c>
      <c r="C377" s="203" t="s">
        <v>684</v>
      </c>
      <c r="D377" s="224" t="s">
        <v>309</v>
      </c>
      <c r="E377" s="203" t="s">
        <v>684</v>
      </c>
      <c r="F377" s="302" t="str">
        <f t="shared" si="36"/>
        <v>10/11/24</v>
      </c>
      <c r="G377" s="233">
        <f t="shared" si="39"/>
        <v>8</v>
      </c>
      <c r="H377" t="str">
        <f t="shared" si="38"/>
        <v>Cuarto Creciente</v>
      </c>
      <c r="J377">
        <f t="shared" si="37"/>
        <v>0</v>
      </c>
      <c r="K377" t="str">
        <f t="shared" si="40"/>
        <v>Domingo</v>
      </c>
      <c r="L377" s="203">
        <f t="shared" si="41"/>
        <v>10</v>
      </c>
    </row>
    <row r="378" spans="2:12">
      <c r="B378" s="224" t="s">
        <v>309</v>
      </c>
      <c r="C378" s="203" t="s">
        <v>684</v>
      </c>
      <c r="D378" s="224" t="s">
        <v>309</v>
      </c>
      <c r="E378" s="203" t="s">
        <v>684</v>
      </c>
      <c r="F378" s="302" t="str">
        <f t="shared" si="36"/>
        <v>11/11/24</v>
      </c>
      <c r="G378" s="233">
        <f t="shared" si="39"/>
        <v>9</v>
      </c>
      <c r="H378" t="str">
        <f t="shared" si="38"/>
        <v>Cuarto Creciente</v>
      </c>
      <c r="J378">
        <f t="shared" si="37"/>
        <v>1</v>
      </c>
      <c r="K378" t="str">
        <f t="shared" si="40"/>
        <v>Lunes</v>
      </c>
      <c r="L378" s="203">
        <f t="shared" si="41"/>
        <v>11</v>
      </c>
    </row>
    <row r="379" spans="2:12">
      <c r="B379" s="224" t="s">
        <v>311</v>
      </c>
      <c r="C379" s="203" t="s">
        <v>684</v>
      </c>
      <c r="D379" s="224" t="s">
        <v>309</v>
      </c>
      <c r="E379" s="203" t="s">
        <v>684</v>
      </c>
      <c r="F379" s="302" t="str">
        <f t="shared" ref="F379:F428" si="42">CONCATENATE(B379,C379,D379,E379,$E$37)</f>
        <v>12/11/24</v>
      </c>
      <c r="G379" s="233">
        <f t="shared" si="39"/>
        <v>10</v>
      </c>
      <c r="H379" t="str">
        <f t="shared" si="38"/>
        <v>Cuarto Creciente</v>
      </c>
      <c r="J379">
        <f t="shared" si="37"/>
        <v>2</v>
      </c>
      <c r="K379" t="str">
        <f t="shared" si="40"/>
        <v>Martes</v>
      </c>
      <c r="L379" s="203">
        <f t="shared" si="41"/>
        <v>12</v>
      </c>
    </row>
    <row r="380" spans="2:12">
      <c r="B380" s="224" t="s">
        <v>688</v>
      </c>
      <c r="C380" s="203" t="s">
        <v>684</v>
      </c>
      <c r="D380" s="224" t="s">
        <v>309</v>
      </c>
      <c r="E380" s="203" t="s">
        <v>684</v>
      </c>
      <c r="F380" s="302" t="str">
        <f t="shared" si="42"/>
        <v>13/11/24</v>
      </c>
      <c r="G380" s="233">
        <f t="shared" si="39"/>
        <v>11</v>
      </c>
      <c r="H380" t="str">
        <f t="shared" si="38"/>
        <v>Cuarto Creciente</v>
      </c>
      <c r="J380">
        <f t="shared" si="37"/>
        <v>3</v>
      </c>
      <c r="K380" t="str">
        <f t="shared" si="40"/>
        <v>Miércoles</v>
      </c>
      <c r="L380" s="203">
        <f t="shared" si="41"/>
        <v>13</v>
      </c>
    </row>
    <row r="381" spans="2:12">
      <c r="B381" s="224" t="s">
        <v>689</v>
      </c>
      <c r="C381" s="203" t="s">
        <v>684</v>
      </c>
      <c r="D381" s="224" t="s">
        <v>309</v>
      </c>
      <c r="E381" s="203" t="s">
        <v>684</v>
      </c>
      <c r="F381" s="302" t="str">
        <f t="shared" si="42"/>
        <v>14/11/24</v>
      </c>
      <c r="G381" s="233">
        <f t="shared" si="39"/>
        <v>12</v>
      </c>
      <c r="H381" t="str">
        <f t="shared" si="38"/>
        <v>Cuarto Creciente</v>
      </c>
      <c r="J381">
        <f t="shared" ref="J381:J428" si="43">IF(J380&lt;6,J380+1,0)</f>
        <v>4</v>
      </c>
      <c r="K381" t="str">
        <f t="shared" si="40"/>
        <v>Jueves</v>
      </c>
      <c r="L381" s="203">
        <f t="shared" si="41"/>
        <v>14</v>
      </c>
    </row>
    <row r="382" spans="2:12">
      <c r="B382" s="224" t="s">
        <v>690</v>
      </c>
      <c r="C382" s="203" t="s">
        <v>684</v>
      </c>
      <c r="D382" s="224" t="s">
        <v>309</v>
      </c>
      <c r="E382" s="203" t="s">
        <v>684</v>
      </c>
      <c r="F382" s="302" t="str">
        <f t="shared" si="42"/>
        <v>15/11/24</v>
      </c>
      <c r="G382" s="233">
        <f t="shared" si="39"/>
        <v>13</v>
      </c>
      <c r="H382" t="str">
        <f t="shared" si="38"/>
        <v>Cuarto Creciente</v>
      </c>
      <c r="J382">
        <f t="shared" si="43"/>
        <v>5</v>
      </c>
      <c r="K382" t="str">
        <f t="shared" si="40"/>
        <v>Viernes</v>
      </c>
      <c r="L382" s="203">
        <f t="shared" si="41"/>
        <v>15</v>
      </c>
    </row>
    <row r="383" spans="2:12">
      <c r="B383" s="224" t="s">
        <v>692</v>
      </c>
      <c r="C383" s="203" t="s">
        <v>684</v>
      </c>
      <c r="D383" s="224" t="s">
        <v>309</v>
      </c>
      <c r="E383" s="203" t="s">
        <v>684</v>
      </c>
      <c r="F383" s="302" t="str">
        <f t="shared" si="42"/>
        <v>16/11/24</v>
      </c>
      <c r="G383" s="233">
        <f t="shared" si="39"/>
        <v>14</v>
      </c>
      <c r="H383" t="str">
        <f t="shared" ref="H383:H428" si="44">VLOOKUP(G383,$J$32:$K$61,2)</f>
        <v>Luna Llena</v>
      </c>
      <c r="J383">
        <f t="shared" si="43"/>
        <v>6</v>
      </c>
      <c r="K383" t="str">
        <f t="shared" si="40"/>
        <v>Sábado</v>
      </c>
      <c r="L383" s="203">
        <f t="shared" si="41"/>
        <v>16</v>
      </c>
    </row>
    <row r="384" spans="2:12">
      <c r="B384" s="224" t="s">
        <v>693</v>
      </c>
      <c r="C384" s="203" t="s">
        <v>684</v>
      </c>
      <c r="D384" s="224" t="s">
        <v>309</v>
      </c>
      <c r="E384" s="203" t="s">
        <v>684</v>
      </c>
      <c r="F384" s="302" t="str">
        <f t="shared" si="42"/>
        <v>17/11/24</v>
      </c>
      <c r="G384" s="233">
        <f t="shared" ref="G384:G428" si="45">MOD($A$69+B384+VLOOKUP(MONTH(F384),$B$35:$D$46,3),30)</f>
        <v>15</v>
      </c>
      <c r="H384" t="str">
        <f t="shared" si="44"/>
        <v>Luna Llena</v>
      </c>
      <c r="J384">
        <f t="shared" si="43"/>
        <v>0</v>
      </c>
      <c r="K384" t="str">
        <f t="shared" ref="K384:K428" si="46">VLOOKUP(J384,$H$45:$I$52,2)</f>
        <v>Domingo</v>
      </c>
      <c r="L384" s="203">
        <f t="shared" ref="L384:L428" si="47">VALUE(LEFT(F384,2))</f>
        <v>17</v>
      </c>
    </row>
    <row r="385" spans="2:12">
      <c r="B385" s="224" t="s">
        <v>695</v>
      </c>
      <c r="C385" s="203" t="s">
        <v>684</v>
      </c>
      <c r="D385" s="224" t="s">
        <v>309</v>
      </c>
      <c r="E385" s="203" t="s">
        <v>684</v>
      </c>
      <c r="F385" s="302" t="str">
        <f t="shared" si="42"/>
        <v>18/11/24</v>
      </c>
      <c r="G385" s="233">
        <f t="shared" si="45"/>
        <v>16</v>
      </c>
      <c r="H385" t="str">
        <f t="shared" si="44"/>
        <v>Luna Llena</v>
      </c>
      <c r="J385">
        <f t="shared" si="43"/>
        <v>1</v>
      </c>
      <c r="K385" t="str">
        <f t="shared" si="46"/>
        <v>Lunes</v>
      </c>
      <c r="L385" s="203">
        <f t="shared" si="47"/>
        <v>18</v>
      </c>
    </row>
    <row r="386" spans="2:12">
      <c r="B386" s="224" t="s">
        <v>697</v>
      </c>
      <c r="C386" s="203" t="s">
        <v>684</v>
      </c>
      <c r="D386" s="224" t="s">
        <v>309</v>
      </c>
      <c r="E386" s="203" t="s">
        <v>684</v>
      </c>
      <c r="F386" s="302" t="str">
        <f t="shared" si="42"/>
        <v>19/11/24</v>
      </c>
      <c r="G386" s="233">
        <f t="shared" si="45"/>
        <v>17</v>
      </c>
      <c r="H386" t="str">
        <f t="shared" si="44"/>
        <v>Luna Llena</v>
      </c>
      <c r="J386">
        <f t="shared" si="43"/>
        <v>2</v>
      </c>
      <c r="K386" t="str">
        <f t="shared" si="46"/>
        <v>Martes</v>
      </c>
      <c r="L386" s="203">
        <f t="shared" si="47"/>
        <v>19</v>
      </c>
    </row>
    <row r="387" spans="2:12">
      <c r="B387" s="224" t="s">
        <v>698</v>
      </c>
      <c r="C387" s="203" t="s">
        <v>684</v>
      </c>
      <c r="D387" s="224" t="s">
        <v>309</v>
      </c>
      <c r="E387" s="203" t="s">
        <v>684</v>
      </c>
      <c r="F387" s="302" t="str">
        <f t="shared" si="42"/>
        <v>20/11/24</v>
      </c>
      <c r="G387" s="233">
        <f t="shared" si="45"/>
        <v>18</v>
      </c>
      <c r="H387" t="str">
        <f t="shared" si="44"/>
        <v>Luna Llena</v>
      </c>
      <c r="J387">
        <f t="shared" si="43"/>
        <v>3</v>
      </c>
      <c r="K387" t="str">
        <f t="shared" si="46"/>
        <v>Miércoles</v>
      </c>
      <c r="L387" s="203">
        <f t="shared" si="47"/>
        <v>20</v>
      </c>
    </row>
    <row r="388" spans="2:12">
      <c r="B388" s="224" t="s">
        <v>699</v>
      </c>
      <c r="C388" s="203" t="s">
        <v>684</v>
      </c>
      <c r="D388" s="224" t="s">
        <v>309</v>
      </c>
      <c r="E388" s="203" t="s">
        <v>684</v>
      </c>
      <c r="F388" s="302" t="str">
        <f t="shared" si="42"/>
        <v>21/11/24</v>
      </c>
      <c r="G388" s="233">
        <f t="shared" si="45"/>
        <v>19</v>
      </c>
      <c r="H388" t="str">
        <f t="shared" si="44"/>
        <v>Luna Llena</v>
      </c>
      <c r="J388">
        <f t="shared" si="43"/>
        <v>4</v>
      </c>
      <c r="K388" t="str">
        <f t="shared" si="46"/>
        <v>Jueves</v>
      </c>
      <c r="L388" s="203">
        <f t="shared" si="47"/>
        <v>21</v>
      </c>
    </row>
    <row r="389" spans="2:12">
      <c r="B389" s="224" t="s">
        <v>700</v>
      </c>
      <c r="C389" s="203" t="s">
        <v>684</v>
      </c>
      <c r="D389" s="224" t="s">
        <v>309</v>
      </c>
      <c r="E389" s="203" t="s">
        <v>684</v>
      </c>
      <c r="F389" s="302" t="str">
        <f t="shared" si="42"/>
        <v>22/11/24</v>
      </c>
      <c r="G389" s="233">
        <f t="shared" si="45"/>
        <v>20</v>
      </c>
      <c r="H389" t="str">
        <f t="shared" si="44"/>
        <v>Luna Llena</v>
      </c>
      <c r="J389">
        <f t="shared" si="43"/>
        <v>5</v>
      </c>
      <c r="K389" t="str">
        <f t="shared" si="46"/>
        <v>Viernes</v>
      </c>
      <c r="L389" s="203">
        <f t="shared" si="47"/>
        <v>22</v>
      </c>
    </row>
    <row r="390" spans="2:12">
      <c r="B390" s="224" t="s">
        <v>702</v>
      </c>
      <c r="C390" s="203" t="s">
        <v>684</v>
      </c>
      <c r="D390" s="224" t="s">
        <v>309</v>
      </c>
      <c r="E390" s="203" t="s">
        <v>684</v>
      </c>
      <c r="F390" s="302" t="str">
        <f t="shared" si="42"/>
        <v>23/11/24</v>
      </c>
      <c r="G390" s="233">
        <f t="shared" si="45"/>
        <v>21</v>
      </c>
      <c r="H390" t="str">
        <f t="shared" si="44"/>
        <v>Cuarto Menguante</v>
      </c>
      <c r="J390">
        <f t="shared" si="43"/>
        <v>6</v>
      </c>
      <c r="K390" t="str">
        <f t="shared" si="46"/>
        <v>Sábado</v>
      </c>
      <c r="L390" s="203">
        <f t="shared" si="47"/>
        <v>23</v>
      </c>
    </row>
    <row r="391" spans="2:12">
      <c r="B391" s="224" t="s">
        <v>703</v>
      </c>
      <c r="C391" s="203" t="s">
        <v>684</v>
      </c>
      <c r="D391" s="224" t="s">
        <v>309</v>
      </c>
      <c r="E391" s="203" t="s">
        <v>684</v>
      </c>
      <c r="F391" s="302" t="str">
        <f t="shared" si="42"/>
        <v>24/11/24</v>
      </c>
      <c r="G391" s="233">
        <f t="shared" si="45"/>
        <v>22</v>
      </c>
      <c r="H391" t="str">
        <f t="shared" si="44"/>
        <v>Cuarto Menguante</v>
      </c>
      <c r="J391">
        <f t="shared" si="43"/>
        <v>0</v>
      </c>
      <c r="K391" t="str">
        <f t="shared" si="46"/>
        <v>Domingo</v>
      </c>
      <c r="L391" s="203">
        <f t="shared" si="47"/>
        <v>24</v>
      </c>
    </row>
    <row r="392" spans="2:12">
      <c r="B392" s="224" t="s">
        <v>704</v>
      </c>
      <c r="C392" s="203" t="s">
        <v>684</v>
      </c>
      <c r="D392" s="224" t="s">
        <v>309</v>
      </c>
      <c r="E392" s="203" t="s">
        <v>684</v>
      </c>
      <c r="F392" s="302" t="str">
        <f t="shared" si="42"/>
        <v>25/11/24</v>
      </c>
      <c r="G392" s="233">
        <f t="shared" si="45"/>
        <v>23</v>
      </c>
      <c r="H392" t="str">
        <f t="shared" si="44"/>
        <v>Cuarto Menguante</v>
      </c>
      <c r="J392">
        <f t="shared" si="43"/>
        <v>1</v>
      </c>
      <c r="K392" t="str">
        <f t="shared" si="46"/>
        <v>Lunes</v>
      </c>
      <c r="L392" s="203">
        <f t="shared" si="47"/>
        <v>25</v>
      </c>
    </row>
    <row r="393" spans="2:12">
      <c r="B393" s="224" t="s">
        <v>705</v>
      </c>
      <c r="C393" s="203" t="s">
        <v>684</v>
      </c>
      <c r="D393" s="224" t="s">
        <v>309</v>
      </c>
      <c r="E393" s="203" t="s">
        <v>684</v>
      </c>
      <c r="F393" s="302" t="str">
        <f t="shared" si="42"/>
        <v>26/11/24</v>
      </c>
      <c r="G393" s="233">
        <f t="shared" si="45"/>
        <v>24</v>
      </c>
      <c r="H393" t="str">
        <f t="shared" si="44"/>
        <v>Cuarto Menguante</v>
      </c>
      <c r="J393">
        <f t="shared" si="43"/>
        <v>2</v>
      </c>
      <c r="K393" t="str">
        <f t="shared" si="46"/>
        <v>Martes</v>
      </c>
      <c r="L393" s="203">
        <f t="shared" si="47"/>
        <v>26</v>
      </c>
    </row>
    <row r="394" spans="2:12">
      <c r="B394" s="224" t="s">
        <v>706</v>
      </c>
      <c r="C394" s="203" t="s">
        <v>684</v>
      </c>
      <c r="D394" s="224" t="s">
        <v>309</v>
      </c>
      <c r="E394" s="203" t="s">
        <v>684</v>
      </c>
      <c r="F394" s="302" t="str">
        <f t="shared" si="42"/>
        <v>27/11/24</v>
      </c>
      <c r="G394" s="233">
        <f t="shared" si="45"/>
        <v>25</v>
      </c>
      <c r="H394" t="str">
        <f t="shared" si="44"/>
        <v>Cuarto Menguante</v>
      </c>
      <c r="J394">
        <f t="shared" si="43"/>
        <v>3</v>
      </c>
      <c r="K394" t="str">
        <f t="shared" si="46"/>
        <v>Miércoles</v>
      </c>
      <c r="L394" s="203">
        <f t="shared" si="47"/>
        <v>27</v>
      </c>
    </row>
    <row r="395" spans="2:12">
      <c r="B395" s="224" t="s">
        <v>708</v>
      </c>
      <c r="C395" s="203" t="s">
        <v>684</v>
      </c>
      <c r="D395" s="224" t="s">
        <v>309</v>
      </c>
      <c r="E395" s="203" t="s">
        <v>684</v>
      </c>
      <c r="F395" s="302" t="str">
        <f t="shared" si="42"/>
        <v>28/11/24</v>
      </c>
      <c r="G395" s="233">
        <f t="shared" si="45"/>
        <v>26</v>
      </c>
      <c r="H395" t="str">
        <f t="shared" si="44"/>
        <v>Cuarto Menguante</v>
      </c>
      <c r="J395">
        <f t="shared" si="43"/>
        <v>4</v>
      </c>
      <c r="K395" t="str">
        <f t="shared" si="46"/>
        <v>Jueves</v>
      </c>
      <c r="L395" s="203">
        <f t="shared" si="47"/>
        <v>28</v>
      </c>
    </row>
    <row r="396" spans="2:12">
      <c r="B396" s="224">
        <v>29</v>
      </c>
      <c r="C396" s="203" t="s">
        <v>684</v>
      </c>
      <c r="D396" s="224" t="s">
        <v>309</v>
      </c>
      <c r="E396" s="203" t="s">
        <v>684</v>
      </c>
      <c r="F396" s="302" t="str">
        <f t="shared" si="42"/>
        <v>29/11/24</v>
      </c>
      <c r="G396" s="233">
        <f t="shared" si="45"/>
        <v>27</v>
      </c>
      <c r="H396" t="str">
        <f t="shared" si="44"/>
        <v>Cuarto Menguante</v>
      </c>
      <c r="J396">
        <f t="shared" si="43"/>
        <v>5</v>
      </c>
      <c r="K396" t="str">
        <f t="shared" si="46"/>
        <v>Viernes</v>
      </c>
      <c r="L396" s="203">
        <f t="shared" si="47"/>
        <v>29</v>
      </c>
    </row>
    <row r="397" spans="2:12">
      <c r="B397" s="224">
        <v>30</v>
      </c>
      <c r="C397" s="203" t="s">
        <v>684</v>
      </c>
      <c r="D397" s="224" t="s">
        <v>309</v>
      </c>
      <c r="E397" s="203" t="s">
        <v>684</v>
      </c>
      <c r="F397" s="302" t="str">
        <f t="shared" si="42"/>
        <v>30/11/24</v>
      </c>
      <c r="G397" s="233">
        <f t="shared" si="45"/>
        <v>28</v>
      </c>
      <c r="H397" t="str">
        <f t="shared" si="44"/>
        <v>Cuarto Menguante</v>
      </c>
      <c r="J397">
        <f t="shared" si="43"/>
        <v>6</v>
      </c>
      <c r="K397" t="str">
        <f t="shared" si="46"/>
        <v>Sábado</v>
      </c>
      <c r="L397" s="203">
        <f t="shared" si="47"/>
        <v>30</v>
      </c>
    </row>
    <row r="398" spans="2:12">
      <c r="B398" s="224" t="s">
        <v>289</v>
      </c>
      <c r="C398" s="203" t="s">
        <v>684</v>
      </c>
      <c r="D398" s="224" t="s">
        <v>311</v>
      </c>
      <c r="E398" s="203" t="s">
        <v>684</v>
      </c>
      <c r="F398" s="302" t="str">
        <f t="shared" si="42"/>
        <v>01/12/24</v>
      </c>
      <c r="G398" s="233">
        <f t="shared" si="45"/>
        <v>29</v>
      </c>
      <c r="H398" t="str">
        <f t="shared" si="44"/>
        <v>Cuarto Menguante</v>
      </c>
      <c r="J398">
        <f t="shared" si="43"/>
        <v>0</v>
      </c>
      <c r="K398" t="str">
        <f t="shared" si="46"/>
        <v>Domingo</v>
      </c>
      <c r="L398" s="203">
        <f t="shared" si="47"/>
        <v>1</v>
      </c>
    </row>
    <row r="399" spans="2:12">
      <c r="B399" s="224" t="s">
        <v>291</v>
      </c>
      <c r="C399" s="203" t="s">
        <v>684</v>
      </c>
      <c r="D399" s="224" t="s">
        <v>311</v>
      </c>
      <c r="E399" s="203" t="s">
        <v>684</v>
      </c>
      <c r="F399" s="302" t="str">
        <f t="shared" si="42"/>
        <v>02/12/24</v>
      </c>
      <c r="G399" s="233">
        <f t="shared" si="45"/>
        <v>0</v>
      </c>
      <c r="H399" t="str">
        <f t="shared" si="44"/>
        <v>Luna Nueva</v>
      </c>
      <c r="J399">
        <f t="shared" si="43"/>
        <v>1</v>
      </c>
      <c r="K399" t="str">
        <f t="shared" si="46"/>
        <v>Lunes</v>
      </c>
      <c r="L399" s="203">
        <f t="shared" si="47"/>
        <v>2</v>
      </c>
    </row>
    <row r="400" spans="2:12">
      <c r="B400" s="224" t="s">
        <v>293</v>
      </c>
      <c r="C400" s="203" t="s">
        <v>684</v>
      </c>
      <c r="D400" s="224" t="s">
        <v>311</v>
      </c>
      <c r="E400" s="203" t="s">
        <v>684</v>
      </c>
      <c r="F400" s="302" t="str">
        <f t="shared" si="42"/>
        <v>03/12/24</v>
      </c>
      <c r="G400" s="233">
        <f t="shared" si="45"/>
        <v>1</v>
      </c>
      <c r="H400" t="str">
        <f t="shared" si="44"/>
        <v>Luna Nueva</v>
      </c>
      <c r="J400">
        <f t="shared" si="43"/>
        <v>2</v>
      </c>
      <c r="K400" t="str">
        <f t="shared" si="46"/>
        <v>Martes</v>
      </c>
      <c r="L400" s="203">
        <f t="shared" si="47"/>
        <v>3</v>
      </c>
    </row>
    <row r="401" spans="2:12">
      <c r="B401" s="224" t="s">
        <v>295</v>
      </c>
      <c r="C401" s="203" t="s">
        <v>684</v>
      </c>
      <c r="D401" s="224" t="s">
        <v>311</v>
      </c>
      <c r="E401" s="203" t="s">
        <v>684</v>
      </c>
      <c r="F401" s="302" t="str">
        <f t="shared" si="42"/>
        <v>04/12/24</v>
      </c>
      <c r="G401" s="233">
        <f t="shared" si="45"/>
        <v>2</v>
      </c>
      <c r="H401" t="str">
        <f t="shared" si="44"/>
        <v>Luna Nueva</v>
      </c>
      <c r="J401">
        <f t="shared" si="43"/>
        <v>3</v>
      </c>
      <c r="K401" t="str">
        <f t="shared" si="46"/>
        <v>Miércoles</v>
      </c>
      <c r="L401" s="203">
        <f t="shared" si="47"/>
        <v>4</v>
      </c>
    </row>
    <row r="402" spans="2:12">
      <c r="B402" s="224" t="s">
        <v>297</v>
      </c>
      <c r="C402" s="203" t="s">
        <v>684</v>
      </c>
      <c r="D402" s="224" t="s">
        <v>311</v>
      </c>
      <c r="E402" s="203" t="s">
        <v>684</v>
      </c>
      <c r="F402" s="302" t="str">
        <f t="shared" si="42"/>
        <v>05/12/24</v>
      </c>
      <c r="G402" s="233">
        <f t="shared" si="45"/>
        <v>3</v>
      </c>
      <c r="H402" t="str">
        <f t="shared" si="44"/>
        <v>Luna Nueva</v>
      </c>
      <c r="J402">
        <f t="shared" si="43"/>
        <v>4</v>
      </c>
      <c r="K402" t="str">
        <f t="shared" si="46"/>
        <v>Jueves</v>
      </c>
      <c r="L402" s="203">
        <f t="shared" si="47"/>
        <v>5</v>
      </c>
    </row>
    <row r="403" spans="2:12">
      <c r="B403" s="224" t="s">
        <v>299</v>
      </c>
      <c r="C403" s="203" t="s">
        <v>684</v>
      </c>
      <c r="D403" s="224" t="s">
        <v>311</v>
      </c>
      <c r="E403" s="203" t="s">
        <v>684</v>
      </c>
      <c r="F403" s="302" t="str">
        <f t="shared" si="42"/>
        <v>06/12/24</v>
      </c>
      <c r="G403" s="233">
        <f t="shared" si="45"/>
        <v>4</v>
      </c>
      <c r="H403" t="str">
        <f t="shared" si="44"/>
        <v>Luna Nueva</v>
      </c>
      <c r="J403">
        <f t="shared" si="43"/>
        <v>5</v>
      </c>
      <c r="K403" t="str">
        <f t="shared" si="46"/>
        <v>Viernes</v>
      </c>
      <c r="L403" s="203">
        <f t="shared" si="47"/>
        <v>6</v>
      </c>
    </row>
    <row r="404" spans="2:12">
      <c r="B404" s="224" t="s">
        <v>301</v>
      </c>
      <c r="C404" s="203" t="s">
        <v>684</v>
      </c>
      <c r="D404" s="224" t="s">
        <v>311</v>
      </c>
      <c r="E404" s="203" t="s">
        <v>684</v>
      </c>
      <c r="F404" s="302" t="str">
        <f t="shared" si="42"/>
        <v>07/12/24</v>
      </c>
      <c r="G404" s="233">
        <f t="shared" si="45"/>
        <v>5</v>
      </c>
      <c r="H404" t="str">
        <f t="shared" si="44"/>
        <v>Luna Nueva</v>
      </c>
      <c r="J404">
        <f t="shared" si="43"/>
        <v>6</v>
      </c>
      <c r="K404" t="str">
        <f t="shared" si="46"/>
        <v>Sábado</v>
      </c>
      <c r="L404" s="203">
        <f t="shared" si="47"/>
        <v>7</v>
      </c>
    </row>
    <row r="405" spans="2:12">
      <c r="B405" s="224" t="s">
        <v>303</v>
      </c>
      <c r="C405" s="203" t="s">
        <v>684</v>
      </c>
      <c r="D405" s="224" t="s">
        <v>311</v>
      </c>
      <c r="E405" s="203" t="s">
        <v>684</v>
      </c>
      <c r="F405" s="302" t="str">
        <f t="shared" si="42"/>
        <v>08/12/24</v>
      </c>
      <c r="G405" s="233">
        <f t="shared" si="45"/>
        <v>6</v>
      </c>
      <c r="H405" t="str">
        <f t="shared" si="44"/>
        <v>Cuarto Creciente</v>
      </c>
      <c r="J405">
        <f t="shared" si="43"/>
        <v>0</v>
      </c>
      <c r="K405" t="str">
        <f t="shared" si="46"/>
        <v>Domingo</v>
      </c>
      <c r="L405" s="203">
        <f t="shared" si="47"/>
        <v>8</v>
      </c>
    </row>
    <row r="406" spans="2:12">
      <c r="B406" s="224" t="s">
        <v>305</v>
      </c>
      <c r="C406" s="203" t="s">
        <v>684</v>
      </c>
      <c r="D406" s="224" t="s">
        <v>311</v>
      </c>
      <c r="E406" s="203" t="s">
        <v>684</v>
      </c>
      <c r="F406" s="302" t="str">
        <f t="shared" si="42"/>
        <v>09/12/24</v>
      </c>
      <c r="G406" s="233">
        <f t="shared" si="45"/>
        <v>7</v>
      </c>
      <c r="H406" t="str">
        <f t="shared" si="44"/>
        <v>Cuarto Creciente</v>
      </c>
      <c r="J406">
        <f t="shared" si="43"/>
        <v>1</v>
      </c>
      <c r="K406" t="str">
        <f t="shared" si="46"/>
        <v>Lunes</v>
      </c>
      <c r="L406" s="203">
        <f t="shared" si="47"/>
        <v>9</v>
      </c>
    </row>
    <row r="407" spans="2:12">
      <c r="B407" s="224" t="s">
        <v>307</v>
      </c>
      <c r="C407" s="203" t="s">
        <v>684</v>
      </c>
      <c r="D407" s="224" t="s">
        <v>311</v>
      </c>
      <c r="E407" s="203" t="s">
        <v>684</v>
      </c>
      <c r="F407" s="302" t="str">
        <f t="shared" si="42"/>
        <v>10/12/24</v>
      </c>
      <c r="G407" s="233">
        <f t="shared" si="45"/>
        <v>8</v>
      </c>
      <c r="H407" t="str">
        <f t="shared" si="44"/>
        <v>Cuarto Creciente</v>
      </c>
      <c r="J407">
        <f t="shared" si="43"/>
        <v>2</v>
      </c>
      <c r="K407" t="str">
        <f t="shared" si="46"/>
        <v>Martes</v>
      </c>
      <c r="L407" s="203">
        <f t="shared" si="47"/>
        <v>10</v>
      </c>
    </row>
    <row r="408" spans="2:12">
      <c r="B408" s="224" t="s">
        <v>309</v>
      </c>
      <c r="C408" s="203" t="s">
        <v>684</v>
      </c>
      <c r="D408" s="224" t="s">
        <v>311</v>
      </c>
      <c r="E408" s="203" t="s">
        <v>684</v>
      </c>
      <c r="F408" s="302" t="str">
        <f t="shared" si="42"/>
        <v>11/12/24</v>
      </c>
      <c r="G408" s="233">
        <f t="shared" si="45"/>
        <v>9</v>
      </c>
      <c r="H408" t="str">
        <f t="shared" si="44"/>
        <v>Cuarto Creciente</v>
      </c>
      <c r="J408">
        <f t="shared" si="43"/>
        <v>3</v>
      </c>
      <c r="K408" t="str">
        <f t="shared" si="46"/>
        <v>Miércoles</v>
      </c>
      <c r="L408" s="203">
        <f t="shared" si="47"/>
        <v>11</v>
      </c>
    </row>
    <row r="409" spans="2:12">
      <c r="B409" s="224" t="s">
        <v>311</v>
      </c>
      <c r="C409" s="203" t="s">
        <v>684</v>
      </c>
      <c r="D409" s="224" t="s">
        <v>311</v>
      </c>
      <c r="E409" s="203" t="s">
        <v>684</v>
      </c>
      <c r="F409" s="302" t="str">
        <f t="shared" si="42"/>
        <v>12/12/24</v>
      </c>
      <c r="G409" s="233">
        <f t="shared" si="45"/>
        <v>10</v>
      </c>
      <c r="H409" t="str">
        <f t="shared" si="44"/>
        <v>Cuarto Creciente</v>
      </c>
      <c r="J409">
        <f t="shared" si="43"/>
        <v>4</v>
      </c>
      <c r="K409" t="str">
        <f t="shared" si="46"/>
        <v>Jueves</v>
      </c>
      <c r="L409" s="203">
        <f t="shared" si="47"/>
        <v>12</v>
      </c>
    </row>
    <row r="410" spans="2:12">
      <c r="B410" s="224" t="s">
        <v>688</v>
      </c>
      <c r="C410" s="203" t="s">
        <v>684</v>
      </c>
      <c r="D410" s="224" t="s">
        <v>311</v>
      </c>
      <c r="E410" s="203" t="s">
        <v>684</v>
      </c>
      <c r="F410" s="302" t="str">
        <f t="shared" si="42"/>
        <v>13/12/24</v>
      </c>
      <c r="G410" s="233">
        <f t="shared" si="45"/>
        <v>11</v>
      </c>
      <c r="H410" t="str">
        <f t="shared" si="44"/>
        <v>Cuarto Creciente</v>
      </c>
      <c r="J410">
        <f t="shared" si="43"/>
        <v>5</v>
      </c>
      <c r="K410" t="str">
        <f t="shared" si="46"/>
        <v>Viernes</v>
      </c>
      <c r="L410" s="203">
        <f t="shared" si="47"/>
        <v>13</v>
      </c>
    </row>
    <row r="411" spans="2:12">
      <c r="B411" s="224" t="s">
        <v>689</v>
      </c>
      <c r="C411" s="203" t="s">
        <v>684</v>
      </c>
      <c r="D411" s="224" t="s">
        <v>311</v>
      </c>
      <c r="E411" s="203" t="s">
        <v>684</v>
      </c>
      <c r="F411" s="302" t="str">
        <f t="shared" si="42"/>
        <v>14/12/24</v>
      </c>
      <c r="G411" s="233">
        <f t="shared" si="45"/>
        <v>12</v>
      </c>
      <c r="H411" t="str">
        <f t="shared" si="44"/>
        <v>Cuarto Creciente</v>
      </c>
      <c r="J411">
        <f t="shared" si="43"/>
        <v>6</v>
      </c>
      <c r="K411" t="str">
        <f t="shared" si="46"/>
        <v>Sábado</v>
      </c>
      <c r="L411" s="203">
        <f t="shared" si="47"/>
        <v>14</v>
      </c>
    </row>
    <row r="412" spans="2:12">
      <c r="B412" s="224" t="s">
        <v>690</v>
      </c>
      <c r="C412" s="203" t="s">
        <v>684</v>
      </c>
      <c r="D412" s="224" t="s">
        <v>311</v>
      </c>
      <c r="E412" s="203" t="s">
        <v>684</v>
      </c>
      <c r="F412" s="302" t="str">
        <f t="shared" si="42"/>
        <v>15/12/24</v>
      </c>
      <c r="G412" s="233">
        <f t="shared" si="45"/>
        <v>13</v>
      </c>
      <c r="H412" t="str">
        <f t="shared" si="44"/>
        <v>Cuarto Creciente</v>
      </c>
      <c r="J412">
        <f t="shared" si="43"/>
        <v>0</v>
      </c>
      <c r="K412" t="str">
        <f t="shared" si="46"/>
        <v>Domingo</v>
      </c>
      <c r="L412" s="203">
        <f t="shared" si="47"/>
        <v>15</v>
      </c>
    </row>
    <row r="413" spans="2:12">
      <c r="B413" s="224" t="s">
        <v>692</v>
      </c>
      <c r="C413" s="203" t="s">
        <v>684</v>
      </c>
      <c r="D413" s="224" t="s">
        <v>311</v>
      </c>
      <c r="E413" s="203" t="s">
        <v>684</v>
      </c>
      <c r="F413" s="302" t="str">
        <f t="shared" si="42"/>
        <v>16/12/24</v>
      </c>
      <c r="G413" s="233">
        <f t="shared" si="45"/>
        <v>14</v>
      </c>
      <c r="H413" t="str">
        <f t="shared" si="44"/>
        <v>Luna Llena</v>
      </c>
      <c r="J413">
        <f t="shared" si="43"/>
        <v>1</v>
      </c>
      <c r="K413" t="str">
        <f t="shared" si="46"/>
        <v>Lunes</v>
      </c>
      <c r="L413" s="203">
        <f t="shared" si="47"/>
        <v>16</v>
      </c>
    </row>
    <row r="414" spans="2:12">
      <c r="B414" s="224" t="s">
        <v>693</v>
      </c>
      <c r="C414" s="203" t="s">
        <v>684</v>
      </c>
      <c r="D414" s="224" t="s">
        <v>311</v>
      </c>
      <c r="E414" s="203" t="s">
        <v>684</v>
      </c>
      <c r="F414" s="302" t="str">
        <f t="shared" si="42"/>
        <v>17/12/24</v>
      </c>
      <c r="G414" s="233">
        <f t="shared" si="45"/>
        <v>15</v>
      </c>
      <c r="H414" t="str">
        <f t="shared" si="44"/>
        <v>Luna Llena</v>
      </c>
      <c r="J414">
        <f t="shared" si="43"/>
        <v>2</v>
      </c>
      <c r="K414" t="str">
        <f t="shared" si="46"/>
        <v>Martes</v>
      </c>
      <c r="L414" s="203">
        <f t="shared" si="47"/>
        <v>17</v>
      </c>
    </row>
    <row r="415" spans="2:12">
      <c r="B415" s="224" t="s">
        <v>695</v>
      </c>
      <c r="C415" s="203" t="s">
        <v>684</v>
      </c>
      <c r="D415" s="224" t="s">
        <v>311</v>
      </c>
      <c r="E415" s="203" t="s">
        <v>684</v>
      </c>
      <c r="F415" s="302" t="str">
        <f t="shared" si="42"/>
        <v>18/12/24</v>
      </c>
      <c r="G415" s="233">
        <f t="shared" si="45"/>
        <v>16</v>
      </c>
      <c r="H415" t="str">
        <f t="shared" si="44"/>
        <v>Luna Llena</v>
      </c>
      <c r="J415">
        <f t="shared" si="43"/>
        <v>3</v>
      </c>
      <c r="K415" t="str">
        <f t="shared" si="46"/>
        <v>Miércoles</v>
      </c>
      <c r="L415" s="203">
        <f t="shared" si="47"/>
        <v>18</v>
      </c>
    </row>
    <row r="416" spans="2:12">
      <c r="B416" s="224" t="s">
        <v>697</v>
      </c>
      <c r="C416" s="203" t="s">
        <v>684</v>
      </c>
      <c r="D416" s="224" t="s">
        <v>311</v>
      </c>
      <c r="E416" s="203" t="s">
        <v>684</v>
      </c>
      <c r="F416" s="302" t="str">
        <f t="shared" si="42"/>
        <v>19/12/24</v>
      </c>
      <c r="G416" s="233">
        <f t="shared" si="45"/>
        <v>17</v>
      </c>
      <c r="H416" t="str">
        <f t="shared" si="44"/>
        <v>Luna Llena</v>
      </c>
      <c r="J416">
        <f t="shared" si="43"/>
        <v>4</v>
      </c>
      <c r="K416" t="str">
        <f t="shared" si="46"/>
        <v>Jueves</v>
      </c>
      <c r="L416" s="203">
        <f t="shared" si="47"/>
        <v>19</v>
      </c>
    </row>
    <row r="417" spans="2:12">
      <c r="B417" s="224" t="s">
        <v>698</v>
      </c>
      <c r="C417" s="203" t="s">
        <v>684</v>
      </c>
      <c r="D417" s="224" t="s">
        <v>311</v>
      </c>
      <c r="E417" s="203" t="s">
        <v>684</v>
      </c>
      <c r="F417" s="302" t="str">
        <f t="shared" si="42"/>
        <v>20/12/24</v>
      </c>
      <c r="G417" s="233">
        <f t="shared" si="45"/>
        <v>18</v>
      </c>
      <c r="H417" t="str">
        <f t="shared" si="44"/>
        <v>Luna Llena</v>
      </c>
      <c r="J417">
        <f t="shared" si="43"/>
        <v>5</v>
      </c>
      <c r="K417" t="str">
        <f t="shared" si="46"/>
        <v>Viernes</v>
      </c>
      <c r="L417" s="203">
        <f t="shared" si="47"/>
        <v>20</v>
      </c>
    </row>
    <row r="418" spans="2:12">
      <c r="B418" s="224" t="s">
        <v>699</v>
      </c>
      <c r="C418" s="203" t="s">
        <v>684</v>
      </c>
      <c r="D418" s="224" t="s">
        <v>311</v>
      </c>
      <c r="E418" s="203" t="s">
        <v>684</v>
      </c>
      <c r="F418" s="302" t="str">
        <f t="shared" si="42"/>
        <v>21/12/24</v>
      </c>
      <c r="G418" s="233">
        <f t="shared" si="45"/>
        <v>19</v>
      </c>
      <c r="H418" t="str">
        <f t="shared" si="44"/>
        <v>Luna Llena</v>
      </c>
      <c r="J418">
        <f t="shared" si="43"/>
        <v>6</v>
      </c>
      <c r="K418" t="str">
        <f t="shared" si="46"/>
        <v>Sábado</v>
      </c>
      <c r="L418" s="203">
        <f t="shared" si="47"/>
        <v>21</v>
      </c>
    </row>
    <row r="419" spans="2:12">
      <c r="B419" s="224" t="s">
        <v>700</v>
      </c>
      <c r="C419" s="203" t="s">
        <v>684</v>
      </c>
      <c r="D419" s="224" t="s">
        <v>311</v>
      </c>
      <c r="E419" s="203" t="s">
        <v>684</v>
      </c>
      <c r="F419" s="302" t="str">
        <f t="shared" si="42"/>
        <v>22/12/24</v>
      </c>
      <c r="G419" s="233">
        <f t="shared" si="45"/>
        <v>20</v>
      </c>
      <c r="H419" t="str">
        <f t="shared" si="44"/>
        <v>Luna Llena</v>
      </c>
      <c r="J419">
        <f t="shared" si="43"/>
        <v>0</v>
      </c>
      <c r="K419" t="str">
        <f t="shared" si="46"/>
        <v>Domingo</v>
      </c>
      <c r="L419" s="203">
        <f t="shared" si="47"/>
        <v>22</v>
      </c>
    </row>
    <row r="420" spans="2:12">
      <c r="B420" s="224" t="s">
        <v>702</v>
      </c>
      <c r="C420" s="203" t="s">
        <v>684</v>
      </c>
      <c r="D420" s="224" t="s">
        <v>311</v>
      </c>
      <c r="E420" s="203" t="s">
        <v>684</v>
      </c>
      <c r="F420" s="302" t="str">
        <f t="shared" si="42"/>
        <v>23/12/24</v>
      </c>
      <c r="G420" s="233">
        <f t="shared" si="45"/>
        <v>21</v>
      </c>
      <c r="H420" t="str">
        <f t="shared" si="44"/>
        <v>Cuarto Menguante</v>
      </c>
      <c r="J420">
        <f t="shared" si="43"/>
        <v>1</v>
      </c>
      <c r="K420" t="str">
        <f t="shared" si="46"/>
        <v>Lunes</v>
      </c>
      <c r="L420" s="203">
        <f t="shared" si="47"/>
        <v>23</v>
      </c>
    </row>
    <row r="421" spans="2:12">
      <c r="B421" s="224" t="s">
        <v>703</v>
      </c>
      <c r="C421" s="203" t="s">
        <v>684</v>
      </c>
      <c r="D421" s="224" t="s">
        <v>311</v>
      </c>
      <c r="E421" s="203" t="s">
        <v>684</v>
      </c>
      <c r="F421" s="302" t="str">
        <f t="shared" si="42"/>
        <v>24/12/24</v>
      </c>
      <c r="G421" s="233">
        <f t="shared" si="45"/>
        <v>22</v>
      </c>
      <c r="H421" t="str">
        <f t="shared" si="44"/>
        <v>Cuarto Menguante</v>
      </c>
      <c r="J421">
        <f t="shared" si="43"/>
        <v>2</v>
      </c>
      <c r="K421" t="str">
        <f t="shared" si="46"/>
        <v>Martes</v>
      </c>
      <c r="L421" s="203">
        <f t="shared" si="47"/>
        <v>24</v>
      </c>
    </row>
    <row r="422" spans="2:12">
      <c r="B422" s="224" t="s">
        <v>704</v>
      </c>
      <c r="C422" s="203" t="s">
        <v>684</v>
      </c>
      <c r="D422" s="224" t="s">
        <v>311</v>
      </c>
      <c r="E422" s="203" t="s">
        <v>684</v>
      </c>
      <c r="F422" s="302" t="str">
        <f t="shared" si="42"/>
        <v>25/12/24</v>
      </c>
      <c r="G422" s="233">
        <f t="shared" si="45"/>
        <v>23</v>
      </c>
      <c r="H422" t="str">
        <f t="shared" si="44"/>
        <v>Cuarto Menguante</v>
      </c>
      <c r="J422">
        <f t="shared" si="43"/>
        <v>3</v>
      </c>
      <c r="K422" t="str">
        <f t="shared" si="46"/>
        <v>Miércoles</v>
      </c>
      <c r="L422" s="203">
        <f t="shared" si="47"/>
        <v>25</v>
      </c>
    </row>
    <row r="423" spans="2:12">
      <c r="B423" s="224" t="s">
        <v>705</v>
      </c>
      <c r="C423" s="203" t="s">
        <v>684</v>
      </c>
      <c r="D423" s="224" t="s">
        <v>311</v>
      </c>
      <c r="E423" s="203" t="s">
        <v>684</v>
      </c>
      <c r="F423" s="302" t="str">
        <f t="shared" si="42"/>
        <v>26/12/24</v>
      </c>
      <c r="G423" s="233">
        <f t="shared" si="45"/>
        <v>24</v>
      </c>
      <c r="H423" t="str">
        <f t="shared" si="44"/>
        <v>Cuarto Menguante</v>
      </c>
      <c r="J423">
        <f t="shared" si="43"/>
        <v>4</v>
      </c>
      <c r="K423" t="str">
        <f t="shared" si="46"/>
        <v>Jueves</v>
      </c>
      <c r="L423" s="203">
        <f t="shared" si="47"/>
        <v>26</v>
      </c>
    </row>
    <row r="424" spans="2:12">
      <c r="B424" s="224" t="s">
        <v>706</v>
      </c>
      <c r="C424" s="203" t="s">
        <v>684</v>
      </c>
      <c r="D424" s="224" t="s">
        <v>311</v>
      </c>
      <c r="E424" s="203" t="s">
        <v>684</v>
      </c>
      <c r="F424" s="302" t="str">
        <f t="shared" si="42"/>
        <v>27/12/24</v>
      </c>
      <c r="G424" s="233">
        <f t="shared" si="45"/>
        <v>25</v>
      </c>
      <c r="H424" t="str">
        <f t="shared" si="44"/>
        <v>Cuarto Menguante</v>
      </c>
      <c r="J424">
        <f t="shared" si="43"/>
        <v>5</v>
      </c>
      <c r="K424" t="str">
        <f t="shared" si="46"/>
        <v>Viernes</v>
      </c>
      <c r="L424" s="203">
        <f t="shared" si="47"/>
        <v>27</v>
      </c>
    </row>
    <row r="425" spans="2:12">
      <c r="B425" s="224" t="s">
        <v>708</v>
      </c>
      <c r="C425" s="203" t="s">
        <v>684</v>
      </c>
      <c r="D425" s="224" t="s">
        <v>311</v>
      </c>
      <c r="E425" s="203" t="s">
        <v>684</v>
      </c>
      <c r="F425" s="302" t="str">
        <f t="shared" si="42"/>
        <v>28/12/24</v>
      </c>
      <c r="G425" s="233">
        <f t="shared" si="45"/>
        <v>26</v>
      </c>
      <c r="H425" t="str">
        <f t="shared" si="44"/>
        <v>Cuarto Menguante</v>
      </c>
      <c r="J425">
        <f t="shared" si="43"/>
        <v>6</v>
      </c>
      <c r="K425" t="str">
        <f t="shared" si="46"/>
        <v>Sábado</v>
      </c>
      <c r="L425" s="203">
        <f t="shared" si="47"/>
        <v>28</v>
      </c>
    </row>
    <row r="426" spans="2:12">
      <c r="B426" s="224">
        <v>29</v>
      </c>
      <c r="C426" s="203" t="s">
        <v>684</v>
      </c>
      <c r="D426" s="224" t="s">
        <v>311</v>
      </c>
      <c r="E426" s="203" t="s">
        <v>684</v>
      </c>
      <c r="F426" s="302" t="str">
        <f t="shared" si="42"/>
        <v>29/12/24</v>
      </c>
      <c r="G426" s="233">
        <f t="shared" si="45"/>
        <v>27</v>
      </c>
      <c r="H426" t="str">
        <f t="shared" si="44"/>
        <v>Cuarto Menguante</v>
      </c>
      <c r="J426">
        <f t="shared" si="43"/>
        <v>0</v>
      </c>
      <c r="K426" t="str">
        <f t="shared" si="46"/>
        <v>Domingo</v>
      </c>
      <c r="L426" s="203">
        <f t="shared" si="47"/>
        <v>29</v>
      </c>
    </row>
    <row r="427" spans="2:12">
      <c r="B427" s="224">
        <v>30</v>
      </c>
      <c r="C427" s="203" t="s">
        <v>684</v>
      </c>
      <c r="D427" s="224" t="s">
        <v>311</v>
      </c>
      <c r="E427" s="203" t="s">
        <v>684</v>
      </c>
      <c r="F427" s="302" t="str">
        <f t="shared" si="42"/>
        <v>30/12/24</v>
      </c>
      <c r="G427" s="233">
        <f t="shared" si="45"/>
        <v>28</v>
      </c>
      <c r="H427" t="str">
        <f t="shared" si="44"/>
        <v>Cuarto Menguante</v>
      </c>
      <c r="J427">
        <f t="shared" si="43"/>
        <v>1</v>
      </c>
      <c r="K427" t="str">
        <f t="shared" si="46"/>
        <v>Lunes</v>
      </c>
      <c r="L427" s="203">
        <f t="shared" si="47"/>
        <v>30</v>
      </c>
    </row>
    <row r="428" spans="2:12">
      <c r="B428" s="224">
        <v>31</v>
      </c>
      <c r="C428" s="203" t="s">
        <v>684</v>
      </c>
      <c r="D428" s="224" t="s">
        <v>311</v>
      </c>
      <c r="E428" s="203" t="s">
        <v>684</v>
      </c>
      <c r="F428" s="302" t="str">
        <f t="shared" si="42"/>
        <v>31/12/24</v>
      </c>
      <c r="G428" s="233">
        <f t="shared" si="45"/>
        <v>29</v>
      </c>
      <c r="H428" t="str">
        <f t="shared" si="44"/>
        <v>Cuarto Menguante</v>
      </c>
      <c r="J428">
        <f t="shared" si="43"/>
        <v>2</v>
      </c>
      <c r="K428" t="str">
        <f t="shared" si="46"/>
        <v>Martes</v>
      </c>
      <c r="L428" s="203">
        <f t="shared" si="47"/>
        <v>31</v>
      </c>
    </row>
  </sheetData>
  <sheetProtection password="888B" sheet="1" objects="1" scenarios="1"/>
  <mergeCells count="5">
    <mergeCell ref="I16:J16"/>
    <mergeCell ref="L16:M16"/>
    <mergeCell ref="M18:N18"/>
    <mergeCell ref="O20:P20"/>
    <mergeCell ref="P22:Q22"/>
  </mergeCells>
  <pageMargins left="0.7" right="0.7" top="0.75" bottom="0.75" header="0.3" footer="0.3"/>
  <ignoredErrors>
    <ignoredError sqref="B75:B150 D74:D428 B154:B181 B184:B211 B215:B242 B245:B272 B276:B303 B307:B334 B337:B364 B368:B395 B398:B425 C35:C46 B63:B73 D63:D73" numberStoredAsText="1"/>
    <ignoredError sqref="J94 F12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/>
  <dimension ref="A1:U48"/>
  <sheetViews>
    <sheetView showGridLines="0" showRowColHeaders="0" zoomScale="85" zoomScaleNormal="85" workbookViewId="0">
      <selection activeCell="W3" sqref="W3"/>
    </sheetView>
  </sheetViews>
  <sheetFormatPr baseColWidth="10" defaultColWidth="4.109375" defaultRowHeight="13.2"/>
  <cols>
    <col min="1" max="1" width="40.6640625" style="1" customWidth="1"/>
    <col min="2" max="2" width="12.21875" style="1" customWidth="1"/>
    <col min="3" max="3" width="9.21875" style="2" customWidth="1"/>
    <col min="4" max="4" width="10.5546875" style="1" customWidth="1"/>
    <col min="5" max="5" width="4.109375" style="1" customWidth="1"/>
    <col min="6" max="6" width="4.21875" style="1" customWidth="1"/>
    <col min="7" max="7" width="2.21875" style="1" customWidth="1"/>
    <col min="8" max="8" width="32.6640625" style="1" customWidth="1"/>
    <col min="9" max="9" width="13" style="1" customWidth="1"/>
    <col min="10" max="10" width="8.109375" style="1" customWidth="1"/>
    <col min="11" max="11" width="7" style="1" customWidth="1"/>
    <col min="12" max="12" width="3.109375" style="1" customWidth="1"/>
    <col min="13" max="13" width="4.109375" style="1"/>
    <col min="14" max="14" width="1.88671875" style="1" customWidth="1"/>
    <col min="15" max="15" width="29.33203125" style="1" customWidth="1"/>
    <col min="16" max="16" width="9.21875" style="1" customWidth="1"/>
    <col min="17" max="17" width="10.5546875" style="1" customWidth="1"/>
    <col min="18" max="18" width="7.88671875" style="1" customWidth="1"/>
    <col min="19" max="16384" width="4.109375" style="1"/>
  </cols>
  <sheetData>
    <row r="1" spans="1:18" ht="27" customHeight="1" thickBot="1">
      <c r="A1" s="32">
        <f>Principal!$C$10</f>
        <v>2024</v>
      </c>
      <c r="B1" s="3" t="s">
        <v>434</v>
      </c>
      <c r="H1" s="37" t="s">
        <v>435</v>
      </c>
      <c r="O1" s="37" t="s">
        <v>435</v>
      </c>
    </row>
    <row r="2" spans="1:18" ht="15" customHeight="1">
      <c r="A2" s="102" t="s">
        <v>59</v>
      </c>
      <c r="B2" s="102" t="s">
        <v>60</v>
      </c>
      <c r="C2" s="103" t="s">
        <v>84</v>
      </c>
      <c r="D2" s="102" t="s">
        <v>61</v>
      </c>
      <c r="E2" s="104"/>
      <c r="H2" s="102" t="s">
        <v>59</v>
      </c>
      <c r="I2" s="102" t="s">
        <v>60</v>
      </c>
      <c r="J2" s="103" t="s">
        <v>84</v>
      </c>
      <c r="K2" s="102" t="s">
        <v>61</v>
      </c>
      <c r="O2" s="102" t="s">
        <v>59</v>
      </c>
      <c r="P2" s="102" t="s">
        <v>60</v>
      </c>
      <c r="Q2" s="103" t="s">
        <v>85</v>
      </c>
      <c r="R2" s="103" t="s">
        <v>61</v>
      </c>
    </row>
    <row r="3" spans="1:18" ht="15" customHeight="1">
      <c r="A3" s="307" t="s">
        <v>436</v>
      </c>
      <c r="B3" s="105"/>
      <c r="C3" s="103"/>
      <c r="D3" s="106">
        <f>MOD(A1,19)</f>
        <v>10</v>
      </c>
      <c r="H3" s="102" t="s">
        <v>62</v>
      </c>
      <c r="I3" s="105">
        <f>$A$1/19</f>
        <v>106.52631578947368</v>
      </c>
      <c r="J3" s="103">
        <f>INT($A$1/19)</f>
        <v>106</v>
      </c>
      <c r="K3" s="106">
        <f>MOD($A$1,19)</f>
        <v>10</v>
      </c>
      <c r="O3" s="102" t="s">
        <v>62</v>
      </c>
      <c r="P3" s="107"/>
      <c r="Q3" s="102"/>
      <c r="R3" s="108" t="s">
        <v>74</v>
      </c>
    </row>
    <row r="4" spans="1:18" ht="15" customHeight="1">
      <c r="A4" s="307" t="s">
        <v>437</v>
      </c>
      <c r="B4" s="105"/>
      <c r="C4" s="103"/>
      <c r="D4" s="308">
        <f>MOD(A1,7)</f>
        <v>1</v>
      </c>
      <c r="E4" s="104"/>
      <c r="H4" s="102" t="s">
        <v>63</v>
      </c>
      <c r="I4" s="105">
        <f>$A$1/100</f>
        <v>20.239999999999998</v>
      </c>
      <c r="J4" s="109">
        <f>INT($A$1/100)</f>
        <v>20</v>
      </c>
      <c r="K4" s="308">
        <f>MOD($A$1,100)</f>
        <v>24</v>
      </c>
      <c r="O4" s="102" t="s">
        <v>63</v>
      </c>
      <c r="P4" s="107"/>
      <c r="Q4" s="109" t="s">
        <v>75</v>
      </c>
      <c r="R4" s="309" t="s">
        <v>5</v>
      </c>
    </row>
    <row r="5" spans="1:18" ht="15" customHeight="1">
      <c r="A5" s="307" t="s">
        <v>438</v>
      </c>
      <c r="B5" s="105"/>
      <c r="C5" s="103"/>
      <c r="D5" s="310">
        <f>MOD(A1,4)</f>
        <v>0</v>
      </c>
      <c r="E5" s="104"/>
      <c r="H5" s="102" t="s">
        <v>64</v>
      </c>
      <c r="I5" s="105">
        <f>J4/4</f>
        <v>5</v>
      </c>
      <c r="J5" s="110">
        <f>INT(J4/4)</f>
        <v>5</v>
      </c>
      <c r="K5" s="111">
        <f>MOD(J4,4)</f>
        <v>0</v>
      </c>
      <c r="O5" s="102" t="s">
        <v>64</v>
      </c>
      <c r="P5" s="107"/>
      <c r="Q5" s="110" t="s">
        <v>76</v>
      </c>
      <c r="R5" s="112" t="s">
        <v>52</v>
      </c>
    </row>
    <row r="6" spans="1:18" ht="15" customHeight="1">
      <c r="A6" s="307" t="s">
        <v>439</v>
      </c>
      <c r="B6" s="105"/>
      <c r="C6" s="103"/>
      <c r="D6" s="311">
        <f>MOD((19*D3+15),30)</f>
        <v>25</v>
      </c>
      <c r="E6" s="115"/>
      <c r="H6" s="102" t="s">
        <v>65</v>
      </c>
      <c r="I6" s="105">
        <f>(J4+8)/25</f>
        <v>1.1200000000000001</v>
      </c>
      <c r="J6" s="113">
        <f>INT((J4+8)/25)</f>
        <v>1</v>
      </c>
      <c r="K6" s="114" t="s">
        <v>66</v>
      </c>
      <c r="O6" s="102" t="s">
        <v>65</v>
      </c>
      <c r="P6" s="107"/>
      <c r="Q6" s="113" t="s">
        <v>77</v>
      </c>
      <c r="R6" s="102" t="s">
        <v>66</v>
      </c>
    </row>
    <row r="7" spans="1:18" ht="15" customHeight="1">
      <c r="A7" s="307" t="s">
        <v>440</v>
      </c>
      <c r="B7" s="105"/>
      <c r="C7" s="103"/>
      <c r="D7" s="311">
        <f>MOD((2*D5+4*D4-D6+34),7)</f>
        <v>6</v>
      </c>
      <c r="E7" s="115"/>
      <c r="H7" s="102" t="s">
        <v>67</v>
      </c>
      <c r="I7" s="105">
        <f>(J4-J6+1)/3</f>
        <v>6.666666666666667</v>
      </c>
      <c r="J7" s="116">
        <f>INT((J4-J6+1)/3)</f>
        <v>6</v>
      </c>
      <c r="K7" s="114" t="s">
        <v>66</v>
      </c>
      <c r="O7" s="102" t="s">
        <v>67</v>
      </c>
      <c r="P7" s="107"/>
      <c r="Q7" s="116" t="s">
        <v>0</v>
      </c>
      <c r="R7" s="102" t="s">
        <v>66</v>
      </c>
    </row>
    <row r="8" spans="1:18" ht="15" customHeight="1">
      <c r="A8" s="312" t="s">
        <v>441</v>
      </c>
      <c r="B8" s="105"/>
      <c r="C8" s="103"/>
      <c r="D8" s="313">
        <f>22+D6+D7</f>
        <v>53</v>
      </c>
      <c r="E8" s="86">
        <f>IF(D8&gt;31,D8-31,D8)</f>
        <v>22</v>
      </c>
      <c r="H8" s="102" t="s">
        <v>68</v>
      </c>
      <c r="I8" s="105">
        <f>((19*K3+J4-J5-J7+15)/30)</f>
        <v>7.1333333333333337</v>
      </c>
      <c r="J8" s="103" t="s">
        <v>69</v>
      </c>
      <c r="K8" s="117">
        <f>MOD((19*K3+J4-J5-J7+15),30)</f>
        <v>4</v>
      </c>
      <c r="O8" s="102" t="s">
        <v>68</v>
      </c>
      <c r="P8" s="107"/>
      <c r="Q8" s="102" t="s">
        <v>69</v>
      </c>
      <c r="R8" s="118" t="s">
        <v>8</v>
      </c>
    </row>
    <row r="9" spans="1:18" ht="15" customHeight="1">
      <c r="A9" s="102"/>
      <c r="B9" s="105"/>
      <c r="C9" s="103"/>
      <c r="D9" s="114"/>
      <c r="E9" s="320" t="str">
        <f>IF(D8&gt;31,"ABRIL","MARZO")</f>
        <v>ABRIL</v>
      </c>
      <c r="H9" s="102" t="s">
        <v>70</v>
      </c>
      <c r="I9" s="105">
        <f>K4/4</f>
        <v>6</v>
      </c>
      <c r="J9" s="119">
        <f>INT(K4/4)</f>
        <v>6</v>
      </c>
      <c r="K9" s="120">
        <f>MOD(K4,4)</f>
        <v>0</v>
      </c>
      <c r="O9" s="102" t="s">
        <v>70</v>
      </c>
      <c r="P9" s="107"/>
      <c r="Q9" s="119" t="s">
        <v>1</v>
      </c>
      <c r="R9" s="121" t="s">
        <v>78</v>
      </c>
    </row>
    <row r="10" spans="1:18" ht="15" customHeight="1">
      <c r="A10" s="314"/>
      <c r="B10" s="315"/>
      <c r="C10" s="103"/>
      <c r="D10" s="114"/>
      <c r="E10" s="115"/>
      <c r="H10" s="102" t="s">
        <v>71</v>
      </c>
      <c r="I10" s="105">
        <f>(32+2*K5+2*J9-K8-K9)/7</f>
        <v>5.7142857142857144</v>
      </c>
      <c r="J10" s="103" t="s">
        <v>66</v>
      </c>
      <c r="K10" s="122">
        <f>MOD((32+2*K5+2*J9-K8-K9),7)</f>
        <v>5</v>
      </c>
      <c r="O10" s="102" t="s">
        <v>71</v>
      </c>
      <c r="P10" s="107"/>
      <c r="Q10" s="102" t="s">
        <v>66</v>
      </c>
      <c r="R10" s="123" t="s">
        <v>79</v>
      </c>
    </row>
    <row r="11" spans="1:18" ht="15" customHeight="1">
      <c r="A11" s="102"/>
      <c r="B11" s="105"/>
      <c r="C11" s="103"/>
      <c r="D11" s="114"/>
      <c r="E11" s="115"/>
      <c r="H11" s="102" t="s">
        <v>72</v>
      </c>
      <c r="I11" s="105">
        <f>(K3+11*K8+22*K10)/451</f>
        <v>0.36363636363636365</v>
      </c>
      <c r="J11" s="316">
        <f>INT((K3+11*K8+22*K10)/451)</f>
        <v>0</v>
      </c>
      <c r="K11" s="114" t="s">
        <v>66</v>
      </c>
      <c r="O11" s="102" t="s">
        <v>72</v>
      </c>
      <c r="P11" s="107"/>
      <c r="Q11" s="124" t="s">
        <v>80</v>
      </c>
      <c r="R11" s="102" t="s">
        <v>66</v>
      </c>
    </row>
    <row r="12" spans="1:18" ht="15" customHeight="1">
      <c r="A12" s="102"/>
      <c r="B12" s="105"/>
      <c r="C12" s="103"/>
      <c r="D12" s="126"/>
      <c r="E12" s="115"/>
      <c r="H12" s="102" t="s">
        <v>73</v>
      </c>
      <c r="I12" s="105">
        <f>((K8+K10-7*J11+114)/31)</f>
        <v>3.967741935483871</v>
      </c>
      <c r="J12" s="125">
        <f>INT((K8+K10-7*J11+114)/31)</f>
        <v>3</v>
      </c>
      <c r="K12" s="126">
        <f>MOD((K8+K10-7*J11+114),31)</f>
        <v>30</v>
      </c>
      <c r="O12" s="102" t="s">
        <v>73</v>
      </c>
      <c r="P12" s="107"/>
      <c r="Q12" s="125" t="s">
        <v>81</v>
      </c>
      <c r="R12" s="125" t="s">
        <v>4</v>
      </c>
    </row>
    <row r="13" spans="1:18" ht="15" customHeight="1">
      <c r="A13" s="114"/>
      <c r="B13" s="315">
        <f>D7</f>
        <v>6</v>
      </c>
      <c r="C13" s="103"/>
      <c r="D13" s="114"/>
      <c r="E13" s="115"/>
      <c r="H13" s="461" t="s">
        <v>734</v>
      </c>
      <c r="I13" s="317">
        <f>$K$8+$K$10-7*$J$11+114</f>
        <v>123</v>
      </c>
      <c r="J13" s="312" t="s">
        <v>420</v>
      </c>
      <c r="K13" s="462"/>
      <c r="O13" s="102" t="s">
        <v>83</v>
      </c>
      <c r="P13" s="107" t="s">
        <v>82</v>
      </c>
      <c r="Q13" s="102" t="s">
        <v>66</v>
      </c>
      <c r="R13" s="102"/>
    </row>
    <row r="14" spans="1:18" ht="21">
      <c r="A14" s="481">
        <f>E8</f>
        <v>22</v>
      </c>
      <c r="B14" s="482" t="str">
        <f>E9</f>
        <v>ABRIL</v>
      </c>
      <c r="C14" s="317" t="s">
        <v>1</v>
      </c>
      <c r="D14" s="127">
        <f>IF(D6-1&lt;0,0,D6)</f>
        <v>25</v>
      </c>
      <c r="E14" s="115"/>
      <c r="H14" s="481">
        <f>I17</f>
        <v>31</v>
      </c>
      <c r="I14" s="482" t="str">
        <f>IF(J12=3,"MARZO","ABRIL")</f>
        <v>MARZO</v>
      </c>
      <c r="J14" s="317" t="s">
        <v>1</v>
      </c>
      <c r="K14" s="127">
        <f>IF(K8&gt;27,K8-1,K8)</f>
        <v>4</v>
      </c>
      <c r="L14" s="727" t="s">
        <v>136</v>
      </c>
      <c r="M14" s="705"/>
      <c r="N14" s="705"/>
      <c r="O14" s="705"/>
      <c r="P14" s="634"/>
      <c r="Q14" s="634"/>
      <c r="R14" s="128" t="s">
        <v>1</v>
      </c>
    </row>
    <row r="15" spans="1:18">
      <c r="E15" s="115"/>
      <c r="H15" s="3" t="s">
        <v>398</v>
      </c>
      <c r="I15" s="2"/>
      <c r="O15" s="305" t="str">
        <f>CONCATENATE("21/03/",$A$1)</f>
        <v>21/03/2024</v>
      </c>
      <c r="Q15" s="318" t="str">
        <f>IF($A$1&gt;1900,$O$15,"21/03")</f>
        <v>21/03/2024</v>
      </c>
    </row>
    <row r="16" spans="1:18">
      <c r="A16" s="728" t="s">
        <v>136</v>
      </c>
      <c r="B16" s="729"/>
      <c r="C16" s="729"/>
      <c r="D16" s="729"/>
      <c r="E16" s="730"/>
      <c r="F16" s="730"/>
      <c r="G16" s="68"/>
      <c r="H16" s="463" t="s">
        <v>735</v>
      </c>
      <c r="I16" s="94">
        <f>1+I13-J12*31</f>
        <v>31</v>
      </c>
      <c r="O16" s="320" t="str">
        <f>A30</f>
        <v>Luna Llena Pascual</v>
      </c>
      <c r="P16" s="321">
        <f>IF($A$1&gt;1582,$Q$15+K14,$H$23)</f>
        <v>45376</v>
      </c>
    </row>
    <row r="17" spans="1:21">
      <c r="E17" s="115"/>
      <c r="G17" s="68"/>
      <c r="H17" s="463" t="s">
        <v>736</v>
      </c>
      <c r="I17" s="94">
        <f>1+MOD($I$13,31)</f>
        <v>31</v>
      </c>
    </row>
    <row r="18" spans="1:21" ht="15.6">
      <c r="A18" s="322" t="str">
        <f>luna!$A$72</f>
        <v>AÑO EMBOLISTICO</v>
      </c>
      <c r="B18" s="319" t="str">
        <f>IF(A18="AÑO EMBOLISTICO","Año de 13 meses en el calendario judío","")</f>
        <v>Año de 13 meses en el calendario judío</v>
      </c>
      <c r="E18" s="115"/>
      <c r="F18" s="115"/>
      <c r="I18" s="3"/>
      <c r="J18" s="3"/>
      <c r="O18" s="3" t="s">
        <v>168</v>
      </c>
      <c r="P18" s="94">
        <f>22+K8+K10-7*J11</f>
        <v>31</v>
      </c>
    </row>
    <row r="19" spans="1:21" ht="14.4" thickBot="1">
      <c r="A19" s="323" t="str">
        <f>luna!$A$75</f>
        <v>AÑO BISIESTO</v>
      </c>
      <c r="B19" s="306" t="str">
        <f>IF(LEN(B23)=2,"SI","NO")</f>
        <v>SI</v>
      </c>
      <c r="C19" s="731" t="str">
        <f>IF(B19="SI", "29 febrero- 366 días","365 días")</f>
        <v>29 febrero- 366 días</v>
      </c>
      <c r="D19" s="634"/>
      <c r="E19" s="634"/>
      <c r="F19" s="115">
        <f>IF(B19="SI",1,0)</f>
        <v>1</v>
      </c>
      <c r="P19" s="94" t="str">
        <f>IF($P$18&gt;31,"ABRIL","MARZO")</f>
        <v>MARZO</v>
      </c>
    </row>
    <row r="20" spans="1:21" ht="31.2" thickTop="1" thickBot="1">
      <c r="A20" s="97" t="s">
        <v>442</v>
      </c>
      <c r="B20" s="129">
        <f>MOD(A1,19)+1</f>
        <v>11</v>
      </c>
      <c r="D20" s="68"/>
      <c r="E20" s="115"/>
      <c r="F20" s="115"/>
      <c r="H20" s="483" t="s">
        <v>34</v>
      </c>
      <c r="I20" s="484">
        <f>IF(A1+0&lt;1583,A14,H14)</f>
        <v>31</v>
      </c>
      <c r="J20" s="732" t="str">
        <f>IF(A1+0&lt;1583,B14,P19)</f>
        <v>MARZO</v>
      </c>
      <c r="K20" s="733"/>
      <c r="L20" s="734"/>
    </row>
    <row r="21" spans="1:21" ht="13.8" thickTop="1">
      <c r="A21" s="3" t="s">
        <v>443</v>
      </c>
      <c r="B21" s="2" t="str">
        <f>L34</f>
        <v>Lunes</v>
      </c>
      <c r="D21" s="68"/>
      <c r="E21" s="115"/>
      <c r="F21" s="115"/>
    </row>
    <row r="22" spans="1:21">
      <c r="A22" s="97" t="s">
        <v>444</v>
      </c>
      <c r="B22" s="2">
        <f>luna!$A$69</f>
        <v>19</v>
      </c>
      <c r="C22" s="149" t="str">
        <f>VLOOKUP(B22,S31:X34,3,TRUE)</f>
        <v>Luna Llena</v>
      </c>
      <c r="D22" s="68"/>
      <c r="E22" s="115"/>
      <c r="F22" s="115"/>
      <c r="H22" s="324" t="str">
        <f>A30</f>
        <v>Luna Llena Pascual</v>
      </c>
      <c r="I22" s="206" t="str">
        <f>IF(A1&lt;1583,22+$D$14-1,"")</f>
        <v/>
      </c>
      <c r="J22" s="3" t="str">
        <f>IF(AND(A1&lt;1583,I22&gt;31),I22-31,I22)</f>
        <v/>
      </c>
      <c r="K22" s="3" t="str">
        <f>IF(AND(A1&lt;1583,I22&gt;31),"ABRIL",IF(A1&lt;1583,"MARZO",""))</f>
        <v/>
      </c>
      <c r="O22" s="87" t="s">
        <v>445</v>
      </c>
      <c r="P22" s="87" t="s">
        <v>414</v>
      </c>
      <c r="Q22" s="1">
        <v>1</v>
      </c>
    </row>
    <row r="23" spans="1:21" ht="15.6" customHeight="1">
      <c r="A23" s="97" t="s">
        <v>446</v>
      </c>
      <c r="B23" s="2" t="str">
        <f>luna!$A$74</f>
        <v>GF</v>
      </c>
      <c r="C23" s="2">
        <f>VLOOKUP(LEFT(B23,1),P22:Q28,2,)</f>
        <v>7</v>
      </c>
      <c r="D23" s="325" t="s">
        <v>447</v>
      </c>
      <c r="E23" s="115"/>
      <c r="H23" s="321">
        <f>IF(A1&lt;1583,K23+0,P16)</f>
        <v>45376</v>
      </c>
      <c r="K23" s="1" t="str">
        <f>IF(A1&lt;1583,CONCATENATE(J22,K22),"")</f>
        <v/>
      </c>
      <c r="P23" s="87" t="s">
        <v>415</v>
      </c>
      <c r="Q23" s="1">
        <v>2</v>
      </c>
    </row>
    <row r="24" spans="1:21" ht="14.4" customHeight="1">
      <c r="A24" s="97" t="s">
        <v>448</v>
      </c>
      <c r="B24" s="2">
        <f>luna!$A$77</f>
        <v>0</v>
      </c>
      <c r="C24" s="86"/>
      <c r="D24" s="68"/>
      <c r="E24" s="115"/>
      <c r="F24" s="115"/>
      <c r="H24" s="326">
        <f>I32</f>
        <v>1</v>
      </c>
      <c r="P24" s="87" t="s">
        <v>416</v>
      </c>
      <c r="Q24" s="1">
        <v>3</v>
      </c>
    </row>
    <row r="25" spans="1:21">
      <c r="A25" s="3" t="s">
        <v>449</v>
      </c>
      <c r="B25" s="211">
        <f>MOD((A1+2),15)+1</f>
        <v>2</v>
      </c>
      <c r="C25" s="327"/>
      <c r="D25" s="68"/>
      <c r="E25" s="115"/>
      <c r="H25" s="2" t="str">
        <f>C30</f>
        <v>Lunes</v>
      </c>
      <c r="P25" s="87" t="s">
        <v>230</v>
      </c>
      <c r="Q25" s="1">
        <v>4</v>
      </c>
    </row>
    <row r="26" spans="1:21">
      <c r="A26" s="3" t="s">
        <v>450</v>
      </c>
      <c r="B26" s="2">
        <f>luna!$A$86</f>
        <v>11</v>
      </c>
      <c r="E26" s="115"/>
      <c r="F26" s="115"/>
      <c r="P26" s="87" t="s">
        <v>417</v>
      </c>
      <c r="Q26" s="1">
        <v>5</v>
      </c>
    </row>
    <row r="27" spans="1:21">
      <c r="A27" s="3" t="s">
        <v>275</v>
      </c>
      <c r="B27" s="2">
        <f>luna!$A$88</f>
        <v>8</v>
      </c>
      <c r="H27" s="87" t="s">
        <v>451</v>
      </c>
      <c r="P27" s="87" t="s">
        <v>418</v>
      </c>
      <c r="Q27" s="1">
        <v>6</v>
      </c>
    </row>
    <row r="28" spans="1:21">
      <c r="A28" s="3" t="s">
        <v>452</v>
      </c>
      <c r="B28" s="2">
        <f>luna!$A$92</f>
        <v>1</v>
      </c>
      <c r="H28" s="87" t="s">
        <v>453</v>
      </c>
      <c r="P28" s="87" t="s">
        <v>419</v>
      </c>
      <c r="Q28" s="1">
        <v>7</v>
      </c>
    </row>
    <row r="29" spans="1:21">
      <c r="A29" s="3" t="s">
        <v>454</v>
      </c>
      <c r="B29" s="304">
        <f>luna!$A$96</f>
        <v>44997</v>
      </c>
      <c r="C29" s="328"/>
      <c r="D29" s="87"/>
      <c r="H29" s="87" t="s">
        <v>455</v>
      </c>
    </row>
    <row r="30" spans="1:21">
      <c r="A30" s="3" t="s">
        <v>456</v>
      </c>
      <c r="B30" s="321">
        <f>luna!$A$101</f>
        <v>45010</v>
      </c>
      <c r="C30" s="2" t="str">
        <f>luna!$A$102</f>
        <v>Lunes</v>
      </c>
      <c r="P30" s="1">
        <v>0</v>
      </c>
      <c r="Q30" s="87" t="s">
        <v>279</v>
      </c>
      <c r="S30" s="87" t="s">
        <v>457</v>
      </c>
    </row>
    <row r="31" spans="1:21">
      <c r="A31" s="329" t="s">
        <v>458</v>
      </c>
      <c r="B31" s="735">
        <f>luna!$A$106</f>
        <v>45016</v>
      </c>
      <c r="C31" s="736"/>
      <c r="D31" s="736"/>
      <c r="H31" s="87" t="s">
        <v>459</v>
      </c>
      <c r="J31" s="43">
        <f>IF(J20="MARZO",31+28+F19+I20,"")</f>
        <v>91</v>
      </c>
      <c r="K31" s="43">
        <f>IF(J20="MARZO",MOD(J31,7),"")</f>
        <v>0</v>
      </c>
      <c r="L31" s="43">
        <f>IF(AND(J20="MARZO",K31=0),1,IF(J20="MARZO",8-K31,""))</f>
        <v>1</v>
      </c>
      <c r="P31" s="1">
        <v>1</v>
      </c>
      <c r="Q31" s="87" t="s">
        <v>280</v>
      </c>
      <c r="S31" s="1">
        <v>0</v>
      </c>
      <c r="T31" s="1">
        <v>6</v>
      </c>
      <c r="U31" s="87" t="s">
        <v>319</v>
      </c>
    </row>
    <row r="32" spans="1:21">
      <c r="H32" s="87" t="s">
        <v>460</v>
      </c>
      <c r="I32" s="2">
        <f>MOD((B24+B28),7)</f>
        <v>1</v>
      </c>
      <c r="J32" s="43" t="str">
        <f>IF(J20="ABRIL",31+28+F19+31+I20,"")</f>
        <v/>
      </c>
      <c r="K32" s="43" t="str">
        <f>IF(J20="ABRIL",MOD(J32,7),"")</f>
        <v/>
      </c>
      <c r="L32" s="43" t="str">
        <f>IF(AND(J20="ABRIL",K32=0),1,IF(J20="ABRIL",8-K32,""))</f>
        <v/>
      </c>
      <c r="P32" s="1">
        <v>2</v>
      </c>
      <c r="Q32" s="87" t="s">
        <v>281</v>
      </c>
      <c r="S32" s="1">
        <v>7</v>
      </c>
      <c r="T32" s="1">
        <v>13</v>
      </c>
      <c r="U32" s="87" t="s">
        <v>320</v>
      </c>
    </row>
    <row r="33" spans="1:21">
      <c r="J33" s="43"/>
      <c r="K33" s="43"/>
      <c r="L33" s="43"/>
      <c r="P33" s="1">
        <v>3</v>
      </c>
      <c r="Q33" s="87" t="s">
        <v>282</v>
      </c>
      <c r="S33" s="1">
        <v>14</v>
      </c>
      <c r="T33" s="1">
        <v>21</v>
      </c>
      <c r="U33" s="87" t="s">
        <v>321</v>
      </c>
    </row>
    <row r="34" spans="1:21">
      <c r="A34" s="87" t="s">
        <v>732</v>
      </c>
      <c r="B34" s="1" t="str">
        <f>IF(C34&gt;21,"LUNA PASCUAL","")</f>
        <v>LUNA PASCUAL</v>
      </c>
      <c r="C34" s="211">
        <f>luna!$O$65</f>
        <v>25</v>
      </c>
      <c r="I34" s="87" t="s">
        <v>461</v>
      </c>
      <c r="J34" s="43"/>
      <c r="K34" s="330">
        <f>IF(J20="ABRIL",L32,L31)</f>
        <v>1</v>
      </c>
      <c r="L34" s="643" t="str">
        <f>VLOOKUP(K34,P30:Q37,2,TRUE)</f>
        <v>Lunes</v>
      </c>
      <c r="M34" s="634"/>
      <c r="N34" s="634"/>
      <c r="O34" s="3"/>
      <c r="P34" s="1">
        <v>4</v>
      </c>
      <c r="Q34" s="87" t="s">
        <v>283</v>
      </c>
      <c r="S34" s="1">
        <v>22</v>
      </c>
      <c r="T34" s="1">
        <v>29</v>
      </c>
      <c r="U34" s="87" t="s">
        <v>322</v>
      </c>
    </row>
    <row r="35" spans="1:21">
      <c r="A35" s="87" t="s">
        <v>733</v>
      </c>
      <c r="B35" s="3" t="str">
        <f>IF(C34&lt;21,"LUNA PASCUAL","")</f>
        <v/>
      </c>
      <c r="C35" s="234">
        <f>luna!$O$66</f>
        <v>24</v>
      </c>
      <c r="P35" s="1">
        <v>5</v>
      </c>
      <c r="Q35" s="87" t="s">
        <v>284</v>
      </c>
    </row>
    <row r="36" spans="1:21">
      <c r="P36" s="1">
        <v>6</v>
      </c>
      <c r="Q36" s="87" t="s">
        <v>285</v>
      </c>
    </row>
    <row r="37" spans="1:21">
      <c r="P37" s="1">
        <v>7</v>
      </c>
      <c r="Q37" s="87" t="s">
        <v>279</v>
      </c>
    </row>
    <row r="40" spans="1:21">
      <c r="B40">
        <f>IF(AND(A1&gt;1582,A1&lt;4100),10,0)</f>
        <v>10</v>
      </c>
      <c r="C40" s="231" t="s">
        <v>341</v>
      </c>
    </row>
    <row r="41" spans="1:21">
      <c r="A41" t="s">
        <v>343</v>
      </c>
      <c r="B41">
        <f>INT(A1/100)-16</f>
        <v>4</v>
      </c>
      <c r="C41" s="231" t="s">
        <v>342</v>
      </c>
    </row>
    <row r="42" spans="1:21">
      <c r="A42" s="255" t="s">
        <v>399</v>
      </c>
      <c r="B42">
        <f>B40+B41-INT(B41/4)</f>
        <v>13</v>
      </c>
      <c r="C42" s="231" t="s">
        <v>344</v>
      </c>
    </row>
    <row r="43" spans="1:21">
      <c r="C43" s="231" t="s">
        <v>345</v>
      </c>
    </row>
    <row r="44" spans="1:21">
      <c r="C44" s="231" t="s">
        <v>346</v>
      </c>
    </row>
    <row r="45" spans="1:21">
      <c r="C45" s="231" t="s">
        <v>346</v>
      </c>
    </row>
    <row r="46" spans="1:21">
      <c r="C46" s="231" t="s">
        <v>345</v>
      </c>
    </row>
    <row r="47" spans="1:21">
      <c r="C47" t="s">
        <v>346</v>
      </c>
    </row>
    <row r="48" spans="1:21">
      <c r="C48" t="s">
        <v>345</v>
      </c>
    </row>
  </sheetData>
  <sheetProtection password="888B" sheet="1" objects="1" scenarios="1"/>
  <mergeCells count="6">
    <mergeCell ref="L34:N34"/>
    <mergeCell ref="L14:Q14"/>
    <mergeCell ref="A16:F16"/>
    <mergeCell ref="C19:E19"/>
    <mergeCell ref="J20:L20"/>
    <mergeCell ref="B31:D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8"/>
  <dimension ref="B1:P66"/>
  <sheetViews>
    <sheetView showGridLines="0" topLeftCell="A8" workbookViewId="0">
      <selection activeCell="C10" sqref="C10"/>
    </sheetView>
  </sheetViews>
  <sheetFormatPr baseColWidth="10" defaultColWidth="11.44140625" defaultRowHeight="13.2"/>
  <cols>
    <col min="1" max="1" width="3.5546875" style="1" customWidth="1"/>
    <col min="2" max="2" width="22.44140625" style="1" customWidth="1"/>
    <col min="3" max="3" width="12" style="1" customWidth="1"/>
    <col min="4" max="4" width="11.44140625" style="1"/>
    <col min="5" max="5" width="4.109375" style="1" customWidth="1"/>
    <col min="6" max="6" width="24.44140625" style="1" customWidth="1"/>
    <col min="7" max="7" width="4" style="2" customWidth="1"/>
    <col min="8" max="8" width="13.5546875" style="1" customWidth="1"/>
    <col min="9" max="9" width="3.77734375" style="1" customWidth="1"/>
    <col min="10" max="11" width="3.109375" style="1" customWidth="1"/>
    <col min="12" max="16384" width="11.44140625" style="1"/>
  </cols>
  <sheetData>
    <row r="1" spans="2:16" ht="13.8" thickBot="1"/>
    <row r="2" spans="2:16" ht="18" thickBot="1">
      <c r="B2" s="737" t="s">
        <v>31</v>
      </c>
      <c r="C2" s="738"/>
      <c r="D2" s="738"/>
      <c r="E2" s="738"/>
      <c r="F2" s="738"/>
      <c r="G2" s="738"/>
      <c r="H2" s="739"/>
      <c r="L2" s="358" t="s">
        <v>470</v>
      </c>
    </row>
    <row r="3" spans="2:16">
      <c r="L3" s="358" t="s">
        <v>471</v>
      </c>
      <c r="M3" s="87"/>
      <c r="O3" s="87"/>
      <c r="P3" s="87"/>
    </row>
    <row r="4" spans="2:16">
      <c r="L4" s="358" t="s">
        <v>472</v>
      </c>
    </row>
    <row r="5" spans="2:16">
      <c r="B5" s="3" t="s">
        <v>32</v>
      </c>
      <c r="L5" s="358" t="s">
        <v>473</v>
      </c>
    </row>
    <row r="6" spans="2:16">
      <c r="B6" s="3" t="s">
        <v>167</v>
      </c>
      <c r="L6" s="358" t="s">
        <v>474</v>
      </c>
    </row>
    <row r="7" spans="2:16">
      <c r="B7" s="3" t="s">
        <v>137</v>
      </c>
      <c r="L7" s="358" t="s">
        <v>475</v>
      </c>
    </row>
    <row r="8" spans="2:16">
      <c r="B8" s="3"/>
      <c r="L8" s="358" t="s">
        <v>476</v>
      </c>
    </row>
    <row r="9" spans="2:16" ht="13.8" thickBot="1">
      <c r="L9" s="358" t="s">
        <v>477</v>
      </c>
    </row>
    <row r="10" spans="2:16" ht="22.2" thickTop="1" thickBot="1">
      <c r="B10" s="4" t="s">
        <v>33</v>
      </c>
      <c r="C10" s="331">
        <f>Principal!$C$10</f>
        <v>2024</v>
      </c>
      <c r="D10" s="175">
        <f>IF(C10&gt;325,1,1)</f>
        <v>1</v>
      </c>
      <c r="F10" s="740" t="str">
        <f>IF(D10=0,"AÑO INCORRECTO (&gt;326 DJC)","LOS DATOS SON")</f>
        <v>LOS DATOS SON</v>
      </c>
      <c r="G10" s="741"/>
      <c r="H10" s="742"/>
      <c r="L10" s="358" t="s">
        <v>478</v>
      </c>
    </row>
    <row r="11" spans="2:16" ht="13.8" thickBot="1">
      <c r="L11" s="358" t="s">
        <v>479</v>
      </c>
    </row>
    <row r="12" spans="2:16" ht="13.8" thickBot="1">
      <c r="B12" s="743" t="s">
        <v>34</v>
      </c>
      <c r="C12" s="744"/>
      <c r="E12" s="359"/>
      <c r="F12" s="360"/>
      <c r="G12" s="361"/>
      <c r="H12" s="362" t="s">
        <v>34</v>
      </c>
      <c r="L12" s="363"/>
    </row>
    <row r="13" spans="2:16">
      <c r="B13" s="24" t="s">
        <v>105</v>
      </c>
      <c r="C13" s="364">
        <f>IF(E13&lt;57,E13,E13-7)</f>
        <v>31</v>
      </c>
      <c r="E13" s="365">
        <f>IF(D10=1,22+D24+C25," ")</f>
        <v>31</v>
      </c>
      <c r="F13" s="366" t="str">
        <f>IF(D10=1,"MARZO"," ")</f>
        <v>MARZO</v>
      </c>
      <c r="G13" s="367">
        <f>IF(AND(D10=1,C13&gt;31),C13-31,C13)</f>
        <v>31</v>
      </c>
      <c r="H13" s="368" t="str">
        <f>IF(E13&gt;31,F14,F13)</f>
        <v>MARZO</v>
      </c>
      <c r="I13" s="1">
        <f>$G$16-$I$19-$I$20+$I$22-$I$23</f>
        <v>24</v>
      </c>
      <c r="L13" s="369" t="s">
        <v>480</v>
      </c>
      <c r="M13" s="332"/>
    </row>
    <row r="14" spans="2:16" ht="13.8" thickBot="1">
      <c r="B14" s="24" t="s">
        <v>106</v>
      </c>
      <c r="C14" s="370">
        <f>IF(E14&lt;26,E14,E14-7)</f>
        <v>0</v>
      </c>
      <c r="E14" s="371">
        <f>IF(D10=1,D24+C25-9," ")</f>
        <v>0</v>
      </c>
      <c r="F14" s="372" t="str">
        <f>IF(D10=1,"ABRIL"," ")</f>
        <v>ABRIL</v>
      </c>
      <c r="G14" s="373">
        <f>IF(AND(D10=1,C14&lt;1),C14+31,C14)</f>
        <v>31</v>
      </c>
      <c r="H14" s="374" t="str">
        <f>IF(E14&lt;1,F13,F14)</f>
        <v>MARZO</v>
      </c>
      <c r="I14" s="1">
        <f>$G$16-$I$19-$I$20+15</f>
        <v>24</v>
      </c>
      <c r="L14" s="363" t="s">
        <v>481</v>
      </c>
    </row>
    <row r="15" spans="2:16">
      <c r="B15" s="24"/>
      <c r="C15" s="26"/>
      <c r="F15" s="2"/>
      <c r="H15" s="6">
        <f>IF(H13="ABRIL",4,3)</f>
        <v>3</v>
      </c>
      <c r="L15" s="375" t="s">
        <v>482</v>
      </c>
      <c r="M15" s="333"/>
    </row>
    <row r="16" spans="2:16">
      <c r="B16" s="24" t="s">
        <v>107</v>
      </c>
      <c r="C16" s="26">
        <f>IF(D10=1,MOD(C10,19)," ")</f>
        <v>10</v>
      </c>
      <c r="E16" s="328" t="s">
        <v>78</v>
      </c>
      <c r="G16" s="2">
        <f>C19</f>
        <v>20</v>
      </c>
      <c r="H16" s="87"/>
      <c r="L16" s="375" t="s">
        <v>483</v>
      </c>
    </row>
    <row r="17" spans="2:15">
      <c r="B17" s="24" t="s">
        <v>108</v>
      </c>
      <c r="C17" s="26">
        <f>IF(D10=1,MOD(C10,4)," ")</f>
        <v>0</v>
      </c>
      <c r="F17" s="1" t="s">
        <v>55</v>
      </c>
      <c r="G17" s="2">
        <f>INT((G16-16)/4)</f>
        <v>1</v>
      </c>
      <c r="H17" s="87"/>
      <c r="I17" s="2"/>
      <c r="J17" s="87"/>
      <c r="L17" s="369"/>
    </row>
    <row r="18" spans="2:15">
      <c r="B18" s="24" t="s">
        <v>109</v>
      </c>
      <c r="C18" s="26">
        <f>IF(D10=1,MOD(C10,7)," ")</f>
        <v>1</v>
      </c>
      <c r="D18" s="328"/>
      <c r="E18" s="328" t="s">
        <v>1</v>
      </c>
      <c r="F18" s="1" t="s">
        <v>81</v>
      </c>
      <c r="G18" s="2">
        <f>G16-16-G17+2</f>
        <v>5</v>
      </c>
      <c r="H18" s="87"/>
      <c r="J18" s="87"/>
      <c r="L18" s="369" t="s">
        <v>469</v>
      </c>
    </row>
    <row r="19" spans="2:15">
      <c r="B19" s="303" t="s">
        <v>462</v>
      </c>
      <c r="C19" s="26">
        <f>INT($C$10/100)</f>
        <v>20</v>
      </c>
      <c r="D19" s="2"/>
      <c r="E19" s="1">
        <f>IF(D19&gt;28,D19-1,D19)</f>
        <v>0</v>
      </c>
      <c r="G19" s="328" t="s">
        <v>401</v>
      </c>
      <c r="I19" s="1">
        <f>INT(G16/4)</f>
        <v>5</v>
      </c>
      <c r="J19" s="87"/>
      <c r="K19" s="87"/>
      <c r="L19" s="375"/>
    </row>
    <row r="20" spans="2:15">
      <c r="B20" s="303" t="s">
        <v>463</v>
      </c>
      <c r="C20" s="26">
        <f>INT((13+8*$C$19)/25)</f>
        <v>6</v>
      </c>
      <c r="D20" s="2"/>
      <c r="F20" s="87"/>
      <c r="G20" s="328" t="s">
        <v>4</v>
      </c>
      <c r="I20" s="1">
        <f>INT((8*G16+13)/25)</f>
        <v>6</v>
      </c>
      <c r="J20" s="87"/>
      <c r="K20" s="87"/>
      <c r="L20" s="375" t="s">
        <v>484</v>
      </c>
    </row>
    <row r="21" spans="2:15">
      <c r="B21" s="303" t="s">
        <v>464</v>
      </c>
      <c r="C21" s="26">
        <f>INT($C$19/4)</f>
        <v>5</v>
      </c>
      <c r="D21" s="2"/>
      <c r="E21" s="87" t="s">
        <v>74</v>
      </c>
      <c r="I21" s="27">
        <f>C16</f>
        <v>10</v>
      </c>
      <c r="L21" s="363" t="s">
        <v>485</v>
      </c>
    </row>
    <row r="22" spans="2:15">
      <c r="B22" s="303" t="s">
        <v>467</v>
      </c>
      <c r="C22" s="26">
        <f>IF(AND($C$10&gt;0,$C$10&lt;1583),15,D22)</f>
        <v>24</v>
      </c>
      <c r="D22" s="2">
        <f>MOD((15-$C$20+$C$19-$C$21),30)</f>
        <v>24</v>
      </c>
      <c r="F22" s="1" t="s">
        <v>111</v>
      </c>
      <c r="I22" s="1">
        <f>19*I21+15</f>
        <v>205</v>
      </c>
      <c r="L22" s="375" t="s">
        <v>486</v>
      </c>
    </row>
    <row r="23" spans="2:15">
      <c r="B23" s="303" t="s">
        <v>468</v>
      </c>
      <c r="C23" s="26">
        <f>IF(AND($C$10&gt;0,$C$10&lt;1583),6,D23)</f>
        <v>5</v>
      </c>
      <c r="D23" s="2">
        <f>MOD((4+$C$19-$C$21),7)</f>
        <v>5</v>
      </c>
      <c r="E23" s="87" t="s">
        <v>465</v>
      </c>
      <c r="F23" s="1" t="s">
        <v>112</v>
      </c>
      <c r="I23" s="1">
        <f>19*C16</f>
        <v>190</v>
      </c>
      <c r="J23" s="7"/>
      <c r="K23" s="7"/>
    </row>
    <row r="24" spans="2:15">
      <c r="B24" s="24" t="s">
        <v>110</v>
      </c>
      <c r="C24" s="26">
        <f>IF($D$10=1,MOD(19*$C$16+C22,30)," ")</f>
        <v>4</v>
      </c>
      <c r="D24" s="2">
        <f>IF(AND(C24=28,$C$16&gt;10),27,C24)</f>
        <v>4</v>
      </c>
      <c r="J24" s="7"/>
      <c r="K24" s="7"/>
      <c r="L24" s="376" t="s">
        <v>425</v>
      </c>
      <c r="M24" s="376"/>
      <c r="N24" s="376" t="s">
        <v>234</v>
      </c>
      <c r="O24" s="376" t="s">
        <v>420</v>
      </c>
    </row>
    <row r="25" spans="2:15">
      <c r="B25" s="303" t="s">
        <v>432</v>
      </c>
      <c r="C25" s="26">
        <f>IF($D$10=1,MOD(2*$C$17+4*$C$18+6*D24+C23,7)," ")</f>
        <v>5</v>
      </c>
      <c r="D25" s="2"/>
      <c r="J25" s="7"/>
      <c r="K25" s="7"/>
      <c r="L25" s="377">
        <v>1</v>
      </c>
      <c r="M25" s="377">
        <v>1582</v>
      </c>
      <c r="N25" s="377">
        <v>15</v>
      </c>
      <c r="O25" s="377">
        <v>6</v>
      </c>
    </row>
    <row r="26" spans="2:15">
      <c r="B26" s="303" t="s">
        <v>466</v>
      </c>
      <c r="C26" s="26">
        <f>C24+C25</f>
        <v>9</v>
      </c>
      <c r="D26" s="2"/>
      <c r="J26" s="7"/>
      <c r="K26" s="7"/>
      <c r="L26" s="377">
        <v>1583</v>
      </c>
      <c r="M26" s="377">
        <v>1699</v>
      </c>
      <c r="N26" s="377">
        <v>22</v>
      </c>
      <c r="O26" s="377">
        <v>2</v>
      </c>
    </row>
    <row r="27" spans="2:15">
      <c r="B27" s="303" t="s">
        <v>487</v>
      </c>
      <c r="C27" s="378">
        <f>IF($C$26&lt;10,22+$C$26,$C$26-9)</f>
        <v>31</v>
      </c>
      <c r="D27" s="379" t="str">
        <f>IF($C$26&lt;10,"MARZO","ABRIL")</f>
        <v>MARZO</v>
      </c>
      <c r="E27" s="380">
        <f>IF($C$26&lt;10,3,4)</f>
        <v>3</v>
      </c>
      <c r="J27" s="7"/>
      <c r="K27" s="7"/>
      <c r="L27" s="377">
        <v>1700</v>
      </c>
      <c r="M27" s="377">
        <v>1799</v>
      </c>
      <c r="N27" s="377">
        <v>23</v>
      </c>
      <c r="O27" s="377">
        <v>3</v>
      </c>
    </row>
    <row r="28" spans="2:15" ht="13.8" thickBot="1">
      <c r="B28" s="334"/>
      <c r="C28" s="29"/>
      <c r="D28" s="381">
        <f>IF(AND(C10&gt;0,C10&lt;1583),CONCATENATE(C14,"/",E27,"/",C10),DATE(C10,E27,C14))</f>
        <v>45351</v>
      </c>
      <c r="G28" s="382"/>
      <c r="J28" s="7"/>
      <c r="K28" s="7"/>
      <c r="L28" s="377">
        <v>1800</v>
      </c>
      <c r="M28" s="377">
        <v>1899</v>
      </c>
      <c r="N28" s="377">
        <v>23</v>
      </c>
      <c r="O28" s="377">
        <v>4</v>
      </c>
    </row>
    <row r="29" spans="2:15">
      <c r="B29" s="1" t="s">
        <v>134</v>
      </c>
      <c r="J29" s="7"/>
      <c r="L29" s="377">
        <v>1900</v>
      </c>
      <c r="M29" s="377">
        <v>2099</v>
      </c>
      <c r="N29" s="377">
        <v>24</v>
      </c>
      <c r="O29" s="377">
        <v>5</v>
      </c>
    </row>
    <row r="30" spans="2:15">
      <c r="J30" s="7"/>
      <c r="K30" s="7"/>
      <c r="L30" s="377">
        <v>2100</v>
      </c>
      <c r="M30" s="377">
        <v>2199</v>
      </c>
      <c r="N30" s="377">
        <v>24</v>
      </c>
      <c r="O30" s="377">
        <v>6</v>
      </c>
    </row>
    <row r="31" spans="2:15">
      <c r="C31" s="3" t="s">
        <v>35</v>
      </c>
      <c r="F31" s="8"/>
      <c r="I31" s="199">
        <f>IF($C$10&gt;1990,7,10)</f>
        <v>7</v>
      </c>
      <c r="L31" s="377">
        <v>2200</v>
      </c>
      <c r="M31" s="377">
        <v>2299</v>
      </c>
      <c r="N31" s="377">
        <v>25</v>
      </c>
      <c r="O31" s="377">
        <v>0</v>
      </c>
    </row>
    <row r="32" spans="2:15" ht="13.8" thickBot="1">
      <c r="F32" s="8"/>
      <c r="L32" s="377">
        <v>2300</v>
      </c>
      <c r="M32" s="377">
        <v>2399</v>
      </c>
      <c r="N32" s="377">
        <v>26</v>
      </c>
      <c r="O32" s="377">
        <v>1</v>
      </c>
    </row>
    <row r="33" spans="2:15" ht="13.8" thickBot="1">
      <c r="B33" s="9" t="s">
        <v>36</v>
      </c>
      <c r="C33" s="10"/>
      <c r="D33" s="10"/>
      <c r="E33" s="11" t="s">
        <v>37</v>
      </c>
      <c r="F33" s="11"/>
      <c r="G33" s="12"/>
      <c r="H33" s="10"/>
      <c r="I33" s="13"/>
      <c r="L33" s="377">
        <v>2400</v>
      </c>
      <c r="M33" s="377">
        <v>2499</v>
      </c>
      <c r="N33" s="377">
        <v>25</v>
      </c>
      <c r="O33" s="377">
        <v>1</v>
      </c>
    </row>
    <row r="34" spans="2:15">
      <c r="B34" s="176" t="s">
        <v>38</v>
      </c>
      <c r="C34" s="177" t="s">
        <v>39</v>
      </c>
      <c r="D34" s="177" t="s">
        <v>40</v>
      </c>
      <c r="E34" s="178"/>
      <c r="F34" s="196">
        <f>IF(D10&lt;&gt;0,F38-46," ")</f>
        <v>45336</v>
      </c>
      <c r="G34" s="179"/>
      <c r="H34" s="177" t="str">
        <f>IF(G34=3,"MIERCOLES"," ")</f>
        <v xml:space="preserve"> </v>
      </c>
      <c r="I34" s="180"/>
      <c r="L34" s="377">
        <v>2500</v>
      </c>
      <c r="M34" s="377">
        <v>2599</v>
      </c>
      <c r="N34" s="377">
        <v>26</v>
      </c>
      <c r="O34" s="377">
        <v>2</v>
      </c>
    </row>
    <row r="35" spans="2:15">
      <c r="B35" s="181" t="s">
        <v>41</v>
      </c>
      <c r="C35" s="182" t="s">
        <v>42</v>
      </c>
      <c r="D35" s="183"/>
      <c r="E35" s="183"/>
      <c r="F35" s="197">
        <f>IF(D10=1,F38-7," ")</f>
        <v>45375</v>
      </c>
      <c r="G35" s="185"/>
      <c r="H35" s="182" t="str">
        <f>IF(G35=7,"DOMINGO"," ")</f>
        <v xml:space="preserve"> </v>
      </c>
      <c r="I35" s="187"/>
      <c r="L35" s="377">
        <v>2600</v>
      </c>
      <c r="M35" s="377">
        <v>2699</v>
      </c>
      <c r="N35" s="377">
        <v>27</v>
      </c>
      <c r="O35" s="377">
        <v>3</v>
      </c>
    </row>
    <row r="36" spans="2:15">
      <c r="B36" s="188"/>
      <c r="C36" s="182" t="s">
        <v>43</v>
      </c>
      <c r="D36" s="183"/>
      <c r="E36" s="183"/>
      <c r="F36" s="197">
        <f>IF(D10=1,F38-3," ")</f>
        <v>45379</v>
      </c>
      <c r="G36" s="185"/>
      <c r="H36" s="182" t="str">
        <f>IF(G36=4,"JUEVES"," ")</f>
        <v xml:space="preserve"> </v>
      </c>
      <c r="I36" s="187"/>
      <c r="L36" s="377">
        <v>2700</v>
      </c>
      <c r="M36" s="377">
        <v>2799</v>
      </c>
      <c r="N36" s="377">
        <v>27</v>
      </c>
      <c r="O36" s="377">
        <v>4</v>
      </c>
    </row>
    <row r="37" spans="2:15" ht="13.8" thickBot="1">
      <c r="B37" s="189"/>
      <c r="C37" s="190" t="s">
        <v>44</v>
      </c>
      <c r="D37" s="191"/>
      <c r="E37" s="191"/>
      <c r="F37" s="198">
        <f>IF(D10=1,F38-2," ")</f>
        <v>45380</v>
      </c>
      <c r="G37" s="193"/>
      <c r="H37" s="190" t="str">
        <f>IF(G37=5,"VIERNES"," ")</f>
        <v xml:space="preserve"> </v>
      </c>
      <c r="I37" s="195"/>
      <c r="L37" s="377">
        <v>2800</v>
      </c>
      <c r="M37" s="377">
        <v>2899</v>
      </c>
      <c r="N37" s="377">
        <v>27</v>
      </c>
      <c r="O37" s="377">
        <v>4</v>
      </c>
    </row>
    <row r="38" spans="2:15" ht="16.2" thickBot="1">
      <c r="B38" s="14" t="s">
        <v>34</v>
      </c>
      <c r="C38" s="14" t="s">
        <v>45</v>
      </c>
      <c r="D38" s="15"/>
      <c r="E38" s="16"/>
      <c r="F38" s="34">
        <f>IF(D10=1,DATE(C10,H15,G13)," ")</f>
        <v>45382</v>
      </c>
      <c r="G38" s="17"/>
      <c r="H38" s="31" t="str">
        <f>IF(G38=7,"DOMINGO"," ")</f>
        <v xml:space="preserve"> </v>
      </c>
      <c r="I38" s="18"/>
      <c r="L38" s="377">
        <v>2900</v>
      </c>
      <c r="M38" s="377">
        <v>2999</v>
      </c>
      <c r="N38" s="377">
        <v>28</v>
      </c>
      <c r="O38" s="377">
        <v>5</v>
      </c>
    </row>
    <row r="39" spans="2:15">
      <c r="B39" s="335" t="s">
        <v>34</v>
      </c>
      <c r="C39" s="336" t="s">
        <v>46</v>
      </c>
      <c r="D39" s="337"/>
      <c r="E39" s="337"/>
      <c r="F39" s="338">
        <f>IF(D10=1,F38+1," ")</f>
        <v>45383</v>
      </c>
      <c r="G39" s="339"/>
      <c r="H39" s="336" t="str">
        <f>IF(G39=1,"LUNES"," ")</f>
        <v xml:space="preserve"> </v>
      </c>
      <c r="I39" s="340"/>
      <c r="L39" s="377">
        <v>3000</v>
      </c>
      <c r="M39" s="377">
        <v>3099</v>
      </c>
      <c r="N39" s="377">
        <v>28</v>
      </c>
      <c r="O39" s="377">
        <v>6</v>
      </c>
    </row>
    <row r="40" spans="2:15">
      <c r="B40" s="342" t="s">
        <v>272</v>
      </c>
      <c r="C40" s="343" t="str">
        <f>IF($I$31=10,"JUEVES","DOMINGO")</f>
        <v>DOMINGO</v>
      </c>
      <c r="D40" s="344"/>
      <c r="E40" s="344"/>
      <c r="F40" s="345">
        <f>F41-I31</f>
        <v>45424</v>
      </c>
      <c r="G40" s="346"/>
      <c r="H40" s="343"/>
      <c r="I40" s="347"/>
      <c r="L40" s="377">
        <v>3100</v>
      </c>
      <c r="M40" s="377">
        <v>3199</v>
      </c>
      <c r="N40" s="377">
        <v>29</v>
      </c>
      <c r="O40" s="377">
        <v>0</v>
      </c>
    </row>
    <row r="41" spans="2:15">
      <c r="B41" s="342" t="s">
        <v>206</v>
      </c>
      <c r="C41" s="343" t="s">
        <v>45</v>
      </c>
      <c r="D41" s="344"/>
      <c r="E41" s="344"/>
      <c r="F41" s="345">
        <f>IF(D10=1,F38+49," ")</f>
        <v>45431</v>
      </c>
      <c r="G41" s="346"/>
      <c r="H41" s="343" t="str">
        <f>IF(G41=7,"DOMINGO"," ")</f>
        <v xml:space="preserve"> </v>
      </c>
      <c r="I41" s="347"/>
      <c r="L41" s="377">
        <v>3200</v>
      </c>
      <c r="M41" s="377">
        <v>3299</v>
      </c>
      <c r="N41" s="377">
        <v>29</v>
      </c>
      <c r="O41" s="377">
        <v>0</v>
      </c>
    </row>
    <row r="42" spans="2:15">
      <c r="B42" s="342" t="s">
        <v>47</v>
      </c>
      <c r="C42" s="343" t="str">
        <f>C40</f>
        <v>DOMINGO</v>
      </c>
      <c r="D42" s="344"/>
      <c r="E42" s="344"/>
      <c r="F42" s="345">
        <f>F40+21</f>
        <v>45445</v>
      </c>
      <c r="G42" s="346"/>
      <c r="H42" s="343" t="str">
        <f>IF(G42=7,"DOMINGO"," ")</f>
        <v xml:space="preserve"> </v>
      </c>
      <c r="I42" s="347"/>
      <c r="L42" s="377">
        <v>3300</v>
      </c>
      <c r="M42" s="377">
        <v>3399</v>
      </c>
      <c r="N42" s="377">
        <v>29</v>
      </c>
      <c r="O42" s="377">
        <v>1</v>
      </c>
    </row>
    <row r="43" spans="2:15" ht="13.8" thickBot="1">
      <c r="B43" s="349" t="s">
        <v>48</v>
      </c>
      <c r="C43" s="350" t="s">
        <v>45</v>
      </c>
      <c r="D43" s="351"/>
      <c r="E43" s="351"/>
      <c r="F43" s="352">
        <f>IF(D10=1,F42+14," ")</f>
        <v>45459</v>
      </c>
      <c r="G43" s="353"/>
      <c r="H43" s="350" t="str">
        <f>IF(G43=7,"DOMINGO"," ")</f>
        <v xml:space="preserve"> </v>
      </c>
      <c r="I43" s="354"/>
      <c r="L43" s="377">
        <v>3400</v>
      </c>
      <c r="M43" s="377">
        <v>3499</v>
      </c>
      <c r="N43" s="377">
        <v>0</v>
      </c>
      <c r="O43" s="377">
        <v>2</v>
      </c>
    </row>
    <row r="44" spans="2:15">
      <c r="F44" s="8"/>
      <c r="L44" s="377">
        <v>3500</v>
      </c>
      <c r="M44" s="377">
        <v>3599</v>
      </c>
      <c r="N44" s="377">
        <v>1</v>
      </c>
      <c r="O44" s="377">
        <v>3</v>
      </c>
    </row>
    <row r="45" spans="2:15">
      <c r="F45" s="8"/>
      <c r="H45" s="1" t="str">
        <f>IF(G45=7,"DIUMENTGE"," ")</f>
        <v xml:space="preserve"> </v>
      </c>
      <c r="L45" s="377">
        <v>3600</v>
      </c>
      <c r="M45" s="377">
        <v>3699</v>
      </c>
      <c r="N45" s="377">
        <v>0</v>
      </c>
      <c r="O45" s="377">
        <v>3</v>
      </c>
    </row>
    <row r="46" spans="2:15" ht="12.75" customHeight="1">
      <c r="B46" s="1" t="s">
        <v>49</v>
      </c>
      <c r="L46" s="377">
        <v>3700</v>
      </c>
      <c r="M46" s="377">
        <v>3799</v>
      </c>
      <c r="N46" s="377">
        <v>1</v>
      </c>
      <c r="O46" s="377">
        <v>4</v>
      </c>
    </row>
    <row r="47" spans="2:15">
      <c r="L47" s="377">
        <v>3800</v>
      </c>
      <c r="M47" s="377">
        <v>3899</v>
      </c>
      <c r="N47" s="377">
        <v>2</v>
      </c>
      <c r="O47" s="377">
        <v>5</v>
      </c>
    </row>
    <row r="48" spans="2:15">
      <c r="L48" s="377">
        <v>3900</v>
      </c>
      <c r="M48" s="377">
        <v>4099</v>
      </c>
      <c r="N48" s="377">
        <v>2</v>
      </c>
      <c r="O48" s="377">
        <v>6</v>
      </c>
    </row>
    <row r="50" spans="2:12">
      <c r="B50" s="82" t="s">
        <v>150</v>
      </c>
      <c r="C50" s="82"/>
      <c r="D50" s="82"/>
      <c r="E50" s="82"/>
      <c r="F50" s="2">
        <f>C10</f>
        <v>2024</v>
      </c>
    </row>
    <row r="51" spans="2:12" ht="26.4">
      <c r="B51" s="88" t="s">
        <v>151</v>
      </c>
      <c r="C51" s="89" t="s">
        <v>152</v>
      </c>
      <c r="D51" s="80"/>
      <c r="F51" s="1">
        <f>INT(F50/100)</f>
        <v>20</v>
      </c>
    </row>
    <row r="52" spans="2:12" ht="13.2" customHeight="1">
      <c r="B52" s="88" t="s">
        <v>151</v>
      </c>
      <c r="C52" s="89" t="s">
        <v>153</v>
      </c>
      <c r="D52" s="80"/>
      <c r="F52" s="1">
        <f>INT((3*F51+3)/4)</f>
        <v>15</v>
      </c>
      <c r="H52" s="1">
        <f>F51-INT(F51/4)</f>
        <v>15</v>
      </c>
    </row>
    <row r="53" spans="2:12" ht="26.4">
      <c r="B53" s="88" t="s">
        <v>151</v>
      </c>
      <c r="C53" s="89" t="s">
        <v>154</v>
      </c>
      <c r="D53" s="80"/>
      <c r="F53" s="1">
        <f>INT((8*F51+13)/25)</f>
        <v>6</v>
      </c>
    </row>
    <row r="54" spans="2:12" ht="26.4">
      <c r="B54" s="88" t="s">
        <v>151</v>
      </c>
      <c r="C54" s="89" t="s">
        <v>155</v>
      </c>
      <c r="D54" s="80"/>
      <c r="F54" s="1">
        <f>IF(F50&gt;1582,MOD((15+F52-F53),30),15)</f>
        <v>24</v>
      </c>
    </row>
    <row r="55" spans="2:12" ht="26.4">
      <c r="B55" s="88" t="s">
        <v>151</v>
      </c>
      <c r="C55" s="89" t="s">
        <v>156</v>
      </c>
      <c r="D55" s="80"/>
      <c r="F55" s="1">
        <f>IF(F50&gt;1582,MOD((4+F52),7),6)</f>
        <v>5</v>
      </c>
    </row>
    <row r="56" spans="2:12" ht="27">
      <c r="B56" s="81" t="s">
        <v>157</v>
      </c>
      <c r="C56" s="81"/>
      <c r="D56" s="81"/>
    </row>
    <row r="57" spans="2:12" ht="26.4">
      <c r="B57" s="85" t="s">
        <v>158</v>
      </c>
      <c r="C57" s="78" t="s">
        <v>159</v>
      </c>
      <c r="D57" s="80"/>
      <c r="F57" s="27">
        <f>MOD(F50,19)</f>
        <v>10</v>
      </c>
      <c r="L57" s="341"/>
    </row>
    <row r="58" spans="2:12" ht="26.4">
      <c r="B58" s="85" t="s">
        <v>158</v>
      </c>
      <c r="C58" s="78" t="s">
        <v>160</v>
      </c>
      <c r="D58" s="80"/>
      <c r="F58" s="27">
        <f>MOD(F50,4)</f>
        <v>0</v>
      </c>
      <c r="L58" s="348"/>
    </row>
    <row r="59" spans="2:12" ht="26.4">
      <c r="B59" s="85" t="s">
        <v>158</v>
      </c>
      <c r="C59" s="78" t="s">
        <v>161</v>
      </c>
      <c r="D59" s="80"/>
      <c r="F59" s="1">
        <f>MOD(F50,7)</f>
        <v>1</v>
      </c>
      <c r="L59"/>
    </row>
    <row r="60" spans="2:12" ht="26.4">
      <c r="B60" s="85" t="s">
        <v>158</v>
      </c>
      <c r="C60" s="78" t="s">
        <v>162</v>
      </c>
      <c r="D60" s="80"/>
      <c r="F60" s="1">
        <f>MOD((19*F57+F54),30)</f>
        <v>4</v>
      </c>
      <c r="L60" s="341"/>
    </row>
    <row r="61" spans="2:12" ht="39.6">
      <c r="B61" s="85" t="s">
        <v>158</v>
      </c>
      <c r="C61" s="78" t="s">
        <v>163</v>
      </c>
      <c r="D61" s="80"/>
      <c r="F61" s="1">
        <f>MOD((2*F58+4*F59+6*F60+F55),7)</f>
        <v>5</v>
      </c>
      <c r="L61" s="348"/>
    </row>
    <row r="62" spans="2:12" ht="26.4">
      <c r="B62" s="85" t="s">
        <v>158</v>
      </c>
      <c r="C62" s="78" t="s">
        <v>164</v>
      </c>
      <c r="D62" s="80"/>
      <c r="F62" s="1">
        <f>22+F60+F61</f>
        <v>31</v>
      </c>
      <c r="L62"/>
    </row>
    <row r="63" spans="2:12" ht="66.599999999999994" thickBot="1">
      <c r="B63" s="88" t="s">
        <v>151</v>
      </c>
      <c r="C63" s="89" t="s">
        <v>165</v>
      </c>
      <c r="D63" s="80"/>
      <c r="F63" s="1">
        <f>IF(OR(F62=57,AND(F62=56,F61=6,F57&gt;10)),F62-7,F62)</f>
        <v>31</v>
      </c>
      <c r="L63" s="341"/>
    </row>
    <row r="64" spans="2:12" ht="28.8" thickBot="1">
      <c r="B64" s="79"/>
      <c r="C64" s="82" t="s">
        <v>166</v>
      </c>
      <c r="F64" s="35">
        <f>IF(F63&gt;31,F63-31,F63)</f>
        <v>31</v>
      </c>
      <c r="G64" s="90" t="str">
        <f>IF(F63&gt;31,"ABRIL","MARZO")</f>
        <v>MARZO</v>
      </c>
      <c r="H64" s="36"/>
      <c r="L64" s="348"/>
    </row>
    <row r="65" spans="12:12">
      <c r="L65"/>
    </row>
    <row r="66" spans="12:12">
      <c r="L66" s="341"/>
    </row>
  </sheetData>
  <mergeCells count="3">
    <mergeCell ref="B2:H2"/>
    <mergeCell ref="F10:H10"/>
    <mergeCell ref="B12:C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3"/>
  <dimension ref="A1:AF85"/>
  <sheetViews>
    <sheetView showGridLines="0" showRowColHeaders="0" zoomScale="85" zoomScaleNormal="85" workbookViewId="0"/>
  </sheetViews>
  <sheetFormatPr baseColWidth="10" defaultColWidth="12" defaultRowHeight="13.2"/>
  <cols>
    <col min="1" max="16384" width="12" style="1"/>
  </cols>
  <sheetData>
    <row r="1" spans="1:32" ht="21.6" thickBot="1">
      <c r="A1" s="130">
        <f>IF(Principal!$C$10&gt;0,Principal!$C$10,"ERROR")</f>
        <v>2024</v>
      </c>
      <c r="B1" s="3" t="s">
        <v>204</v>
      </c>
      <c r="D1" s="1">
        <f>IF(AND(A1&gt;0,A1&lt;1583),1,IF(A1&lt;326,0,2))</f>
        <v>2</v>
      </c>
      <c r="E1" s="131" t="s">
        <v>128</v>
      </c>
      <c r="F1" s="1">
        <f>A1/19</f>
        <v>106.52631578947368</v>
      </c>
      <c r="K1" s="1" t="str">
        <f>CONCATENATE(J3,K3)</f>
        <v>25MARZO</v>
      </c>
      <c r="AA1" s="47">
        <f>1582-V3</f>
        <v>-442</v>
      </c>
    </row>
    <row r="2" spans="1:32">
      <c r="B2" s="2" t="s">
        <v>50</v>
      </c>
      <c r="H2" s="132"/>
      <c r="I2" s="133"/>
      <c r="J2" s="133" t="str">
        <f>IF(D1=0,"LUNA LLENA TEÓRICA","")</f>
        <v/>
      </c>
      <c r="K2" s="133"/>
      <c r="L2" s="134" t="s">
        <v>24</v>
      </c>
      <c r="N2" s="200"/>
      <c r="O2" s="200"/>
      <c r="P2" s="200"/>
      <c r="Q2" s="200"/>
      <c r="R2" s="200" t="str">
        <f>L2</f>
        <v>DIA SEMANA</v>
      </c>
      <c r="T2" s="87" t="s">
        <v>207</v>
      </c>
      <c r="W2" s="206">
        <f>MOD(V3,4)</f>
        <v>0</v>
      </c>
      <c r="X2" s="45">
        <f>X3/4</f>
        <v>506</v>
      </c>
      <c r="Z2" s="45">
        <f>INT(X3/4)</f>
        <v>506</v>
      </c>
      <c r="AA2" s="212" t="str">
        <f>CONCATENATE(Z6,V3)</f>
        <v>01/01/2024</v>
      </c>
    </row>
    <row r="3" spans="1:32" ht="13.8">
      <c r="D3" s="3" t="s">
        <v>27</v>
      </c>
      <c r="H3" s="135" t="str">
        <f>IF(D1&lt;&gt;0,"LUNA LLENA PASCUAL","PON UN AÑO &gt;325")</f>
        <v>LUNA LLENA PASCUAL</v>
      </c>
      <c r="I3" s="136"/>
      <c r="J3" s="136">
        <f>IF(H4&lt;32,H4,H4-31)</f>
        <v>25</v>
      </c>
      <c r="K3" s="136" t="str">
        <f>IF(H4&gt;31,"ABRIL","MARZO")</f>
        <v>MARZO</v>
      </c>
      <c r="L3" s="137" t="str">
        <f>IF(H6=0,"DOMINGO",IF(H6=1,"LUNES",IF(H6=2,"MARTES",IF(H6=3,"MIERCOLES",IF(H6=4,"JUEVES",IF(H6=5,"VIERNES",IF(H6=6,"SÁBADO")))))))</f>
        <v>LUNES</v>
      </c>
      <c r="N3" s="237" t="s">
        <v>273</v>
      </c>
      <c r="O3" s="200"/>
      <c r="P3" s="200"/>
      <c r="Q3" s="201">
        <f>K1-13</f>
        <v>44997</v>
      </c>
      <c r="R3" s="200" t="str">
        <f>L3</f>
        <v>LUNES</v>
      </c>
      <c r="T3" s="7">
        <f ca="1">TODAY()</f>
        <v>45015</v>
      </c>
      <c r="V3" s="665">
        <f>IF(VALUE(N8)&gt;0,N8,IF(N8=" ",YEAR(T3)," "))</f>
        <v>2024</v>
      </c>
      <c r="W3" s="666"/>
      <c r="X3" s="661">
        <f>IF(V4=FALSE,VALUE(V3),"c")</f>
        <v>2024</v>
      </c>
      <c r="Y3" s="746"/>
      <c r="AA3" s="213" t="str">
        <f>$Z$8</f>
        <v>01/01/2024</v>
      </c>
    </row>
    <row r="4" spans="1:32" ht="13.8" thickBot="1">
      <c r="A4" s="1" t="s">
        <v>0</v>
      </c>
      <c r="B4" s="3">
        <f>MOD(A1,19)</f>
        <v>10</v>
      </c>
      <c r="C4" s="1" t="s">
        <v>113</v>
      </c>
      <c r="E4">
        <f>B4*11</f>
        <v>110</v>
      </c>
      <c r="F4">
        <f>MOD(E4,30)</f>
        <v>20</v>
      </c>
      <c r="H4" s="138">
        <f>IF(D1=1,21+B6,21+B32)</f>
        <v>25</v>
      </c>
      <c r="I4" s="139"/>
      <c r="J4" s="140" t="str">
        <f>IF(D1=1," CALENDARIO JULIANO",IF(D1=2,"CALENDARIO GREGORIANO","DATO POCO FIABLE"))</f>
        <v>CALENDARIO GREGORIANO</v>
      </c>
      <c r="K4" s="139"/>
      <c r="L4" s="141"/>
      <c r="N4" s="202">
        <f>DAY(Q3)</f>
        <v>12</v>
      </c>
      <c r="O4" s="237" t="str">
        <f>J4</f>
        <v>CALENDARIO GREGORIANO</v>
      </c>
      <c r="P4" s="200"/>
      <c r="Q4" s="200"/>
      <c r="R4" s="200"/>
      <c r="T4" s="1">
        <f ca="1">YEAR(T3)</f>
        <v>2023</v>
      </c>
      <c r="V4" s="210" t="b">
        <f>ISERROR(N7)</f>
        <v>0</v>
      </c>
      <c r="W4" s="207">
        <f>MOD(X3,400)</f>
        <v>24</v>
      </c>
      <c r="X4" s="47">
        <f>IF(N8+0&gt;1582,MOD(W4,100),1)</f>
        <v>24</v>
      </c>
      <c r="Y4" s="87" t="s">
        <v>276</v>
      </c>
      <c r="AA4" s="688" t="s">
        <v>277</v>
      </c>
      <c r="AB4" s="730"/>
      <c r="AC4" s="730"/>
      <c r="AD4" s="730"/>
    </row>
    <row r="5" spans="1:32">
      <c r="A5" s="1" t="s">
        <v>8</v>
      </c>
      <c r="B5" s="3"/>
      <c r="C5" s="1" t="s">
        <v>51</v>
      </c>
      <c r="J5" s="3"/>
      <c r="T5" s="688" t="s">
        <v>210</v>
      </c>
      <c r="U5" s="688"/>
      <c r="V5" s="688"/>
      <c r="W5" s="43" t="str">
        <f>RIGHT(X3,2)</f>
        <v>24</v>
      </c>
      <c r="Y5" s="42">
        <f>IF(AND($X$2=$Z$2,X4&lt;&gt;0,$V$3&lt;&gt;1900),1,IF($W$4=0,1,0))</f>
        <v>1</v>
      </c>
    </row>
    <row r="6" spans="1:32">
      <c r="A6" s="1" t="s">
        <v>1</v>
      </c>
      <c r="B6" s="1">
        <f>MOD((19*B4+15),30)</f>
        <v>25</v>
      </c>
      <c r="C6" s="1" t="s">
        <v>25</v>
      </c>
      <c r="H6" s="1">
        <f>IF(D1=1,B9,B35)</f>
        <v>1</v>
      </c>
      <c r="I6" s="1" t="s">
        <v>126</v>
      </c>
      <c r="T6" s="204" t="str">
        <f>IF($R$33=1,$AA$13,"01/01 ")</f>
        <v xml:space="preserve">01/01 </v>
      </c>
      <c r="U6" s="219">
        <f>AE12</f>
        <v>5</v>
      </c>
      <c r="V6" s="43" t="str">
        <f>VLOOKUP(U6,$AC$21:$AD$28,2,)</f>
        <v>Viernes</v>
      </c>
      <c r="W6" s="1" t="str">
        <f>LEFT(M13,3)</f>
        <v>Ene</v>
      </c>
      <c r="X6" s="47">
        <f>$W$4-1900</f>
        <v>-1876</v>
      </c>
      <c r="Y6" s="43">
        <f>IF(OR(AND($W$2=0,$X$4&lt;&gt;0),$W$4=0),1,0)</f>
        <v>1</v>
      </c>
      <c r="Z6" s="670" t="s">
        <v>244</v>
      </c>
      <c r="AA6" s="671"/>
      <c r="AB6" s="671"/>
      <c r="AC6" s="661" t="s">
        <v>278</v>
      </c>
      <c r="AD6" s="643"/>
      <c r="AE6" s="204" t="str">
        <f>LEFT(AA3,2)</f>
        <v>01</v>
      </c>
      <c r="AF6" s="43">
        <f>VALUE(AE6)</f>
        <v>1</v>
      </c>
    </row>
    <row r="7" spans="1:32" ht="13.8">
      <c r="C7" s="1" t="s">
        <v>133</v>
      </c>
      <c r="N7" s="1">
        <f>VALUE(N8)</f>
        <v>2024</v>
      </c>
      <c r="P7" s="665" t="str">
        <f>IF(VALUE(H7)&gt;0,H7,IF(H7=" ",YEAR(L7)," "))</f>
        <v xml:space="preserve"> </v>
      </c>
      <c r="Q7" s="666"/>
      <c r="T7" s="204" t="str">
        <f>IF($R$33=1,T6+31,"01/02 ")</f>
        <v xml:space="preserve">01/02 </v>
      </c>
      <c r="U7" s="48">
        <f>MOD(U6+31,7)</f>
        <v>1</v>
      </c>
      <c r="V7" s="43" t="str">
        <f t="shared" ref="V7:V17" si="0">VLOOKUP(U7,$AC$21:$AD$28,2,)</f>
        <v>Lunes</v>
      </c>
      <c r="W7" s="1" t="str">
        <f t="shared" ref="W7:W17" si="1">LEFT(M14,3)</f>
        <v>Feb</v>
      </c>
      <c r="X7" s="47">
        <f>MOD($W$4,4)</f>
        <v>0</v>
      </c>
      <c r="Z7" s="670" t="s">
        <v>211</v>
      </c>
      <c r="AA7" s="671"/>
      <c r="AB7" s="671"/>
      <c r="AC7" s="629" t="s">
        <v>82</v>
      </c>
      <c r="AD7" s="629"/>
      <c r="AE7" s="40" t="str">
        <f>MID(AA3,4,2)</f>
        <v>01</v>
      </c>
      <c r="AF7" s="43">
        <f>VALUE(AE7)</f>
        <v>1</v>
      </c>
    </row>
    <row r="8" spans="1:32" ht="13.8" thickBot="1">
      <c r="A8" s="1" t="s">
        <v>2</v>
      </c>
      <c r="B8" s="1">
        <f>INT(A1/4)</f>
        <v>506</v>
      </c>
      <c r="N8" s="1">
        <f>A1</f>
        <v>2024</v>
      </c>
      <c r="T8" s="204" t="str">
        <f>IF($R$33=1,Z9,"01/03")</f>
        <v>01/03</v>
      </c>
      <c r="U8" s="48">
        <f>MOD(U7+28+Y5,7)</f>
        <v>2</v>
      </c>
      <c r="V8" s="43" t="str">
        <f t="shared" si="0"/>
        <v>Martes</v>
      </c>
      <c r="W8" s="1" t="str">
        <f t="shared" si="1"/>
        <v>Mar</v>
      </c>
      <c r="X8" s="43">
        <f>IF($V$3&lt;1583,INT($V$3/100)-INT($V$3/400),9)</f>
        <v>9</v>
      </c>
      <c r="Z8" s="674" t="str">
        <f>CONCATENATE(Z6,V3)</f>
        <v>01/01/2024</v>
      </c>
      <c r="AA8" s="671"/>
      <c r="AB8" s="671"/>
      <c r="AC8" s="643" t="s">
        <v>33</v>
      </c>
      <c r="AD8" s="643"/>
      <c r="AE8" s="47">
        <f>X3</f>
        <v>2024</v>
      </c>
      <c r="AF8" s="43">
        <f>VALUE(AE8)</f>
        <v>2024</v>
      </c>
    </row>
    <row r="9" spans="1:32">
      <c r="A9" s="1" t="s">
        <v>3</v>
      </c>
      <c r="B9" s="1">
        <f>MOD((A1+B8+B6),7)</f>
        <v>0</v>
      </c>
      <c r="C9" s="1" t="s">
        <v>130</v>
      </c>
      <c r="H9" s="21" t="str">
        <f>IF(D1&lt;&gt;0,"DOMINGO PASCUA","PON UN AÑO &lt;325")</f>
        <v>DOMINGO PASCUA</v>
      </c>
      <c r="I9" s="142"/>
      <c r="J9" s="22">
        <f>IF(H18&lt;32,H18,H18-31)</f>
        <v>31</v>
      </c>
      <c r="K9" s="22" t="str">
        <f>IF(H11=3,"MARZO","ABRIL")</f>
        <v>MARZO</v>
      </c>
      <c r="L9" s="23" t="str">
        <f>IF(D1=0,"PASCUA","")</f>
        <v/>
      </c>
      <c r="T9" s="204" t="str">
        <f>IF($R$33=1,T8+31,"01/04 ")</f>
        <v xml:space="preserve">01/04 </v>
      </c>
      <c r="U9" s="48">
        <f>MOD(U8+31,7)</f>
        <v>5</v>
      </c>
      <c r="V9" s="43" t="str">
        <f t="shared" si="0"/>
        <v>Viernes</v>
      </c>
      <c r="W9" s="1" t="str">
        <f t="shared" si="1"/>
        <v>Abr</v>
      </c>
      <c r="Z9" s="629" t="str">
        <f>Z8</f>
        <v>01/01/2024</v>
      </c>
      <c r="AA9" s="671"/>
      <c r="AB9" s="671"/>
    </row>
    <row r="10" spans="1:32" ht="13.8" thickBot="1">
      <c r="A10" s="1" t="s">
        <v>4</v>
      </c>
      <c r="B10" s="1">
        <f>B6-B9</f>
        <v>25</v>
      </c>
      <c r="C10" s="1" t="s">
        <v>125</v>
      </c>
      <c r="H10" s="143">
        <f>IF(D1=1,B18,B41)</f>
        <v>31</v>
      </c>
      <c r="I10" s="144"/>
      <c r="J10" s="25" t="str">
        <f>IF(D1=1," CALENDARIO JULIANO",IF(D1=2,"CALENDARIO GREGORIANO","DATO POCO FIABLE"))</f>
        <v>CALENDARIO GREGORIANO</v>
      </c>
      <c r="K10" s="144"/>
      <c r="L10" s="145"/>
      <c r="N10" t="s">
        <v>287</v>
      </c>
      <c r="O10" s="222" t="str">
        <f>W5</f>
        <v>24</v>
      </c>
      <c r="T10" s="204" t="str">
        <f>IF($R$33=1,T9+30,"01/05 ")</f>
        <v xml:space="preserve">01/05 </v>
      </c>
      <c r="U10" s="220">
        <f>MOD(U9+30,7)</f>
        <v>0</v>
      </c>
      <c r="V10" s="43" t="str">
        <f t="shared" si="0"/>
        <v>Domingo</v>
      </c>
      <c r="W10" s="1" t="str">
        <f t="shared" si="1"/>
        <v>May</v>
      </c>
      <c r="AA10" s="42">
        <f>IF(AND(X2=Z2,X4&lt;&gt;0,V3&lt;&gt;1900),1,IF(X4=0,1,0))</f>
        <v>1</v>
      </c>
    </row>
    <row r="11" spans="1:32">
      <c r="A11" s="1" t="s">
        <v>19</v>
      </c>
      <c r="B11" s="1">
        <f>INT((B10+6)/40)</f>
        <v>0</v>
      </c>
      <c r="H11" s="1">
        <f>IF(D1=1,B20,B44)</f>
        <v>3</v>
      </c>
      <c r="T11" s="204" t="str">
        <f>IF($R$33=1,T10+31,"01/06 ")</f>
        <v xml:space="preserve">01/06 </v>
      </c>
      <c r="U11" s="48">
        <f>MOD(U10+31,7)</f>
        <v>3</v>
      </c>
      <c r="V11" s="43" t="str">
        <f t="shared" si="0"/>
        <v>Miércoles</v>
      </c>
      <c r="W11" s="1" t="str">
        <f t="shared" si="1"/>
        <v>Jun</v>
      </c>
      <c r="AA11" s="688" t="str">
        <f>CONCATENATE(Z7,V3)</f>
        <v>29/02/2024</v>
      </c>
      <c r="AB11" s="664"/>
      <c r="AC11" s="664"/>
      <c r="AD11" s="1" t="s">
        <v>286</v>
      </c>
    </row>
    <row r="12" spans="1:32">
      <c r="B12" s="1">
        <v>10</v>
      </c>
      <c r="C12" s="1" t="s">
        <v>56</v>
      </c>
      <c r="I12" s="222"/>
      <c r="T12" s="204" t="str">
        <f>IF($R$33=1,T11+30,"01/07 ")</f>
        <v xml:space="preserve">01/07 </v>
      </c>
      <c r="U12" s="48">
        <f>MOD(U11+30,7)</f>
        <v>5</v>
      </c>
      <c r="V12" s="43" t="str">
        <f t="shared" si="0"/>
        <v>Viernes</v>
      </c>
      <c r="W12" s="1" t="str">
        <f t="shared" si="1"/>
        <v>Jul</v>
      </c>
      <c r="AA12" s="747" t="str">
        <f>CONCATENATE(Z6,V3)</f>
        <v>01/01/2024</v>
      </c>
      <c r="AB12" s="748"/>
      <c r="AC12" s="748"/>
      <c r="AD12" s="215">
        <f>(V3-1)*365+INT((V3-1)/4)-INT((V3-1)/100)+INT((V3-1)/400)+X8</f>
        <v>738894</v>
      </c>
      <c r="AE12" s="215">
        <f>MOD((MOD(AB12,7)+5),7)</f>
        <v>5</v>
      </c>
    </row>
    <row r="13" spans="1:32" ht="15.6">
      <c r="D13" s="1" t="s">
        <v>53</v>
      </c>
      <c r="I13" s="221" t="s">
        <v>274</v>
      </c>
      <c r="J13" s="221">
        <f>B4+1</f>
        <v>11</v>
      </c>
      <c r="M13" s="223" t="s">
        <v>288</v>
      </c>
      <c r="N13" s="203">
        <v>1</v>
      </c>
      <c r="O13" s="224" t="s">
        <v>289</v>
      </c>
      <c r="P13" s="203">
        <v>0</v>
      </c>
      <c r="T13" s="204" t="str">
        <f>IF($R$33=1,T12+31,"01/08 ")</f>
        <v xml:space="preserve">01/08 </v>
      </c>
      <c r="U13" s="48">
        <f>MOD(U12+31,7)</f>
        <v>1</v>
      </c>
      <c r="V13" s="43" t="str">
        <f t="shared" si="0"/>
        <v>Lunes</v>
      </c>
      <c r="W13" s="1" t="str">
        <f t="shared" si="1"/>
        <v>Ago</v>
      </c>
      <c r="AA13" s="675" t="str">
        <f>IF(R33=1,DATEVALUE(AA12)," ")</f>
        <v xml:space="preserve"> </v>
      </c>
      <c r="AB13" s="745"/>
      <c r="AC13" s="745"/>
      <c r="AE13" s="43" t="str">
        <f>VLOOKUP(AE12,AC21:AD28,2,)</f>
        <v>Viernes</v>
      </c>
    </row>
    <row r="14" spans="1:32" ht="15.6">
      <c r="A14" s="1" t="s">
        <v>54</v>
      </c>
      <c r="B14" s="1">
        <f>INT(A1/100)</f>
        <v>20</v>
      </c>
      <c r="J14" s="93">
        <f>INT($A$1/100)+1</f>
        <v>21</v>
      </c>
      <c r="M14" s="223" t="s">
        <v>290</v>
      </c>
      <c r="N14" s="203">
        <v>2</v>
      </c>
      <c r="O14" s="224" t="s">
        <v>291</v>
      </c>
      <c r="P14" s="203">
        <v>1</v>
      </c>
      <c r="T14" s="204" t="str">
        <f>IF($R$33=1,T13+31,"01/09 ")</f>
        <v xml:space="preserve">01/09 </v>
      </c>
      <c r="U14" s="48">
        <f>MOD(U13+31,7)</f>
        <v>4</v>
      </c>
      <c r="V14" s="43" t="str">
        <f t="shared" si="0"/>
        <v>Jueves</v>
      </c>
      <c r="W14" s="1" t="str">
        <f t="shared" si="1"/>
        <v>Sep</v>
      </c>
    </row>
    <row r="15" spans="1:32" ht="15.6">
      <c r="A15" s="1" t="s">
        <v>55</v>
      </c>
      <c r="B15" s="1">
        <f>INT(($B$14-16)/4)</f>
        <v>1</v>
      </c>
      <c r="J15" s="203">
        <f>INT((3*$J$14)/4)-12</f>
        <v>3</v>
      </c>
      <c r="M15" s="223" t="s">
        <v>292</v>
      </c>
      <c r="N15" s="203">
        <v>3</v>
      </c>
      <c r="O15" s="224" t="s">
        <v>293</v>
      </c>
      <c r="P15" s="203">
        <v>0</v>
      </c>
      <c r="T15" s="204" t="str">
        <f>IF($R$33=1,T14+30,"01/10 ")</f>
        <v xml:space="preserve">01/10 </v>
      </c>
      <c r="U15" s="48">
        <f>MOD(U14+30,7)</f>
        <v>6</v>
      </c>
      <c r="V15" s="43" t="str">
        <f t="shared" si="0"/>
        <v>Sábado</v>
      </c>
      <c r="W15" s="1" t="str">
        <f t="shared" si="1"/>
        <v>Oct</v>
      </c>
    </row>
    <row r="16" spans="1:32" ht="15.6">
      <c r="A16" s="1" t="s">
        <v>52</v>
      </c>
      <c r="B16" s="236">
        <f>IF(A1&gt;1600,B12+B14-16-B15,IF(A1&gt;1582,10," "))</f>
        <v>13</v>
      </c>
      <c r="C16" s="1" t="s">
        <v>57</v>
      </c>
      <c r="J16" s="203">
        <f>INT((8*$J$14+5)/25)-5</f>
        <v>1</v>
      </c>
      <c r="M16" s="223" t="s">
        <v>294</v>
      </c>
      <c r="N16" s="203">
        <v>4</v>
      </c>
      <c r="O16" s="224" t="s">
        <v>295</v>
      </c>
      <c r="P16" s="203">
        <v>1</v>
      </c>
      <c r="T16" s="204" t="str">
        <f>IF($R$33=1,T15+31,"01/11 ")</f>
        <v xml:space="preserve">01/11 </v>
      </c>
      <c r="U16" s="48">
        <f>IF(W3+0&lt;&gt;1582,MOD(U15+31,7),1)</f>
        <v>2</v>
      </c>
      <c r="V16" s="43" t="str">
        <f t="shared" si="0"/>
        <v>Martes</v>
      </c>
      <c r="W16" s="1" t="str">
        <f t="shared" si="1"/>
        <v>Nov</v>
      </c>
    </row>
    <row r="17" spans="1:31" ht="16.2" thickBot="1">
      <c r="J17" s="203">
        <f>INT(($A$1*5)/4)-10-$J$15</f>
        <v>2517</v>
      </c>
      <c r="M17" s="223" t="s">
        <v>296</v>
      </c>
      <c r="N17" s="203">
        <v>5</v>
      </c>
      <c r="O17" s="224" t="s">
        <v>297</v>
      </c>
      <c r="P17" s="203">
        <v>2</v>
      </c>
      <c r="T17" s="204" t="str">
        <f>IF($R$33=1,T16+30,"01/12 ")</f>
        <v xml:space="preserve">01/12 </v>
      </c>
      <c r="U17" s="48">
        <f>MOD(U16+30,7)</f>
        <v>4</v>
      </c>
      <c r="V17" s="43" t="str">
        <f t="shared" si="0"/>
        <v>Jueves</v>
      </c>
      <c r="W17" s="1" t="str">
        <f t="shared" si="1"/>
        <v>Dic</v>
      </c>
    </row>
    <row r="18" spans="1:31" ht="16.8" thickTop="1" thickBot="1">
      <c r="A18" s="1" t="s">
        <v>22</v>
      </c>
      <c r="B18" s="1">
        <f>IF(MOD(1+(B10+27+B11),31)=0,31,MOD(1+(B10+27+B11),31))</f>
        <v>22</v>
      </c>
      <c r="D18" s="1" t="s">
        <v>18</v>
      </c>
      <c r="H18" s="1">
        <f>IF(AND(H10=26,H11=4),19,H10)</f>
        <v>31</v>
      </c>
      <c r="I18" s="87" t="s">
        <v>312</v>
      </c>
      <c r="J18" s="229">
        <f>IF(A1&gt;1581,MOD((MOD((11*$J$13+20+$J$16-$J$15),30)+30),30),J19)</f>
        <v>19</v>
      </c>
      <c r="M18" s="223" t="s">
        <v>298</v>
      </c>
      <c r="N18" s="203">
        <v>6</v>
      </c>
      <c r="O18" s="224" t="s">
        <v>299</v>
      </c>
      <c r="P18" s="203">
        <v>3</v>
      </c>
      <c r="W18" s="681">
        <f>(V3-1)*365+INT((V3-1)/4)-INT((V3-1)/100)+INT((V3-1)/400)+X8</f>
        <v>738894</v>
      </c>
      <c r="X18" s="682"/>
    </row>
    <row r="19" spans="1:31" ht="16.2" thickTop="1">
      <c r="A19" s="1" t="s">
        <v>21</v>
      </c>
      <c r="B19" s="1">
        <f>INT((B10+26)/30)</f>
        <v>1</v>
      </c>
      <c r="H19" s="1">
        <f>$B$14-16-$B$15</f>
        <v>3</v>
      </c>
      <c r="I19" s="87" t="s">
        <v>313</v>
      </c>
      <c r="J19" s="228">
        <f>$J$52</f>
        <v>28</v>
      </c>
      <c r="M19" s="223" t="s">
        <v>300</v>
      </c>
      <c r="N19" s="203">
        <v>7</v>
      </c>
      <c r="O19" s="224" t="s">
        <v>301</v>
      </c>
      <c r="P19" s="203">
        <v>4</v>
      </c>
    </row>
    <row r="20" spans="1:31" ht="15.6">
      <c r="A20" s="1" t="s">
        <v>23</v>
      </c>
      <c r="B20" s="1">
        <f>3+B19</f>
        <v>4</v>
      </c>
      <c r="D20" s="1" t="s">
        <v>20</v>
      </c>
      <c r="M20" s="223" t="s">
        <v>302</v>
      </c>
      <c r="N20" s="203">
        <v>8</v>
      </c>
      <c r="O20" s="224" t="s">
        <v>303</v>
      </c>
      <c r="P20" s="203">
        <v>5</v>
      </c>
    </row>
    <row r="21" spans="1:31" ht="16.2" thickBot="1">
      <c r="I21" s="1" t="s">
        <v>129</v>
      </c>
      <c r="M21" s="223" t="s">
        <v>304</v>
      </c>
      <c r="N21" s="203">
        <v>9</v>
      </c>
      <c r="O21" s="224" t="s">
        <v>305</v>
      </c>
      <c r="P21" s="203">
        <v>7</v>
      </c>
      <c r="W21" s="43"/>
      <c r="X21" s="43"/>
      <c r="Y21" s="43"/>
      <c r="Z21" s="43"/>
      <c r="AA21" s="43"/>
      <c r="AB21" s="43">
        <v>1</v>
      </c>
      <c r="AC21" s="43">
        <v>0</v>
      </c>
      <c r="AD21" s="44" t="s">
        <v>279</v>
      </c>
      <c r="AE21" s="217">
        <v>1</v>
      </c>
    </row>
    <row r="22" spans="1:31" ht="15.6">
      <c r="I22" s="146" t="s">
        <v>114</v>
      </c>
      <c r="J22" s="147" t="s">
        <v>118</v>
      </c>
      <c r="K22" s="96"/>
      <c r="M22" s="223" t="s">
        <v>306</v>
      </c>
      <c r="N22" s="203">
        <v>10</v>
      </c>
      <c r="O22" s="224" t="s">
        <v>307</v>
      </c>
      <c r="P22" s="203">
        <v>7</v>
      </c>
      <c r="W22" s="43" t="s">
        <v>214</v>
      </c>
      <c r="X22" s="43" t="str">
        <f>IF(AND(Y5+0&gt;1899,Y5+0&lt;10000),W4,W5)</f>
        <v>24</v>
      </c>
      <c r="Y22" s="43"/>
      <c r="Z22" s="43" t="s">
        <v>215</v>
      </c>
      <c r="AA22" s="43">
        <f ca="1">DAY(T3)</f>
        <v>30</v>
      </c>
      <c r="AB22" s="43">
        <v>2</v>
      </c>
      <c r="AC22" s="43">
        <v>1</v>
      </c>
      <c r="AD22" s="44" t="s">
        <v>280</v>
      </c>
      <c r="AE22" s="218">
        <v>2</v>
      </c>
    </row>
    <row r="23" spans="1:31" ht="15.6">
      <c r="D23" s="3" t="s">
        <v>28</v>
      </c>
      <c r="I23" s="24" t="s">
        <v>115</v>
      </c>
      <c r="J23" s="30" t="s">
        <v>119</v>
      </c>
      <c r="K23" s="26"/>
      <c r="M23" s="223" t="s">
        <v>308</v>
      </c>
      <c r="N23" s="203">
        <v>11</v>
      </c>
      <c r="O23" s="224" t="s">
        <v>309</v>
      </c>
      <c r="P23" s="203">
        <v>9</v>
      </c>
      <c r="W23" s="43"/>
      <c r="X23" s="43"/>
      <c r="Y23" s="43"/>
      <c r="Z23" s="43" t="s">
        <v>216</v>
      </c>
      <c r="AA23" s="43">
        <f ca="1">MONTH(T3)</f>
        <v>3</v>
      </c>
      <c r="AB23" s="43">
        <v>3</v>
      </c>
      <c r="AC23" s="43">
        <v>2</v>
      </c>
      <c r="AD23" s="44" t="s">
        <v>281</v>
      </c>
      <c r="AE23" s="217">
        <v>3</v>
      </c>
    </row>
    <row r="24" spans="1:31" ht="15.6">
      <c r="A24" s="1" t="s">
        <v>5</v>
      </c>
      <c r="B24" s="1">
        <f>INT(A1/100)</f>
        <v>20</v>
      </c>
      <c r="C24" s="1" t="s">
        <v>6</v>
      </c>
      <c r="D24" s="1" t="s">
        <v>13</v>
      </c>
      <c r="I24" s="24" t="s">
        <v>116</v>
      </c>
      <c r="J24" s="30" t="s">
        <v>119</v>
      </c>
      <c r="K24" s="26"/>
      <c r="M24" s="223" t="s">
        <v>310</v>
      </c>
      <c r="N24" s="203">
        <v>12</v>
      </c>
      <c r="O24" s="224" t="s">
        <v>311</v>
      </c>
      <c r="P24" s="203">
        <v>9</v>
      </c>
      <c r="W24" s="43"/>
      <c r="X24" s="43"/>
      <c r="Y24" s="43"/>
      <c r="Z24" s="43" t="s">
        <v>216</v>
      </c>
      <c r="AA24" s="43">
        <f ca="1">IF(AND(AA22&gt;5,AA25=0),AA23,IF(AA25&gt;0,AA25,AA23-1))</f>
        <v>3</v>
      </c>
      <c r="AB24" s="43">
        <v>4</v>
      </c>
      <c r="AC24" s="43">
        <v>3</v>
      </c>
      <c r="AD24" s="44" t="s">
        <v>282</v>
      </c>
      <c r="AE24" s="218">
        <v>4</v>
      </c>
    </row>
    <row r="25" spans="1:31" ht="13.8" thickBot="1">
      <c r="A25" s="1" t="s">
        <v>7</v>
      </c>
      <c r="B25" s="1">
        <f>INT(B24/4)</f>
        <v>5</v>
      </c>
      <c r="I25" s="28" t="s">
        <v>117</v>
      </c>
      <c r="J25" s="148" t="s">
        <v>132</v>
      </c>
      <c r="K25" s="29"/>
      <c r="W25" s="43"/>
      <c r="X25" s="43"/>
      <c r="Y25" s="55"/>
      <c r="Z25" s="56"/>
      <c r="AA25" s="57"/>
      <c r="AB25" s="43">
        <v>5</v>
      </c>
      <c r="AC25" s="43">
        <v>4</v>
      </c>
      <c r="AD25" s="44" t="s">
        <v>283</v>
      </c>
      <c r="AE25" s="217">
        <v>5</v>
      </c>
    </row>
    <row r="26" spans="1:31">
      <c r="A26" s="1" t="s">
        <v>9</v>
      </c>
      <c r="B26" s="1">
        <f>INT((8*B24+13)/25)</f>
        <v>6</v>
      </c>
      <c r="W26" s="43"/>
      <c r="X26" s="43"/>
      <c r="Y26" s="56"/>
      <c r="Z26" s="56"/>
      <c r="AA26" s="43"/>
      <c r="AB26" s="43">
        <v>6</v>
      </c>
      <c r="AC26" s="43">
        <v>5</v>
      </c>
      <c r="AD26" s="44" t="s">
        <v>284</v>
      </c>
      <c r="AE26" s="218">
        <v>6</v>
      </c>
    </row>
    <row r="27" spans="1:31">
      <c r="A27" s="1" t="s">
        <v>8</v>
      </c>
      <c r="B27" s="1">
        <f>MOD((B24-B25-B26+19*B4+15),30)</f>
        <v>4</v>
      </c>
      <c r="D27" s="1" t="s">
        <v>14</v>
      </c>
      <c r="W27" s="43"/>
      <c r="X27" s="43"/>
      <c r="Y27" s="56"/>
      <c r="Z27" s="56"/>
      <c r="AA27" s="43"/>
      <c r="AB27" s="43">
        <v>7</v>
      </c>
      <c r="AC27" s="43">
        <v>6</v>
      </c>
      <c r="AD27" s="44" t="s">
        <v>285</v>
      </c>
      <c r="AE27" s="217">
        <v>7</v>
      </c>
    </row>
    <row r="28" spans="1:31">
      <c r="A28" s="1" t="s">
        <v>10</v>
      </c>
      <c r="B28" s="1">
        <f>INT(B27/28)</f>
        <v>0</v>
      </c>
      <c r="J28" s="40"/>
      <c r="K28" s="40"/>
      <c r="L28" s="218" t="s">
        <v>314</v>
      </c>
      <c r="M28" s="41"/>
      <c r="N28" s="41"/>
      <c r="O28" s="38"/>
      <c r="W28" s="43"/>
      <c r="X28" s="43"/>
      <c r="Y28" s="56"/>
      <c r="Z28" s="56"/>
      <c r="AA28" s="43"/>
      <c r="AB28" s="43">
        <v>0</v>
      </c>
      <c r="AC28" s="43">
        <v>7</v>
      </c>
      <c r="AD28" s="44" t="s">
        <v>279</v>
      </c>
      <c r="AE28" s="218">
        <v>8</v>
      </c>
    </row>
    <row r="29" spans="1:31">
      <c r="A29" s="1" t="s">
        <v>11</v>
      </c>
      <c r="B29" s="1">
        <f>INT(29/(B27+1))</f>
        <v>5</v>
      </c>
      <c r="J29" s="67">
        <f>J13</f>
        <v>11</v>
      </c>
      <c r="K29" s="227" t="s">
        <v>315</v>
      </c>
      <c r="L29" s="203"/>
      <c r="M29" s="203"/>
      <c r="N29" s="714"/>
      <c r="O29" s="715"/>
    </row>
    <row r="30" spans="1:31">
      <c r="A30" s="1" t="s">
        <v>12</v>
      </c>
      <c r="B30" s="1">
        <f>INT((21-B4)/11)</f>
        <v>1</v>
      </c>
      <c r="J30" s="40" t="s">
        <v>427</v>
      </c>
      <c r="K30" s="225" t="s">
        <v>316</v>
      </c>
      <c r="L30" s="226" t="s">
        <v>317</v>
      </c>
      <c r="M30" s="41"/>
      <c r="O30" s="38"/>
    </row>
    <row r="31" spans="1:31">
      <c r="A31" s="1" t="s">
        <v>1</v>
      </c>
      <c r="B31" s="1">
        <f>B27-B28*(1-B28*B29*B30)</f>
        <v>4</v>
      </c>
      <c r="D31" s="1" t="s">
        <v>15</v>
      </c>
      <c r="J31" s="40">
        <v>1</v>
      </c>
      <c r="K31" s="218">
        <v>0</v>
      </c>
      <c r="L31" s="38">
        <f t="shared" ref="L31:L49" si="2">IF(K31+8&lt;30,K31+8,K31+8-30)</f>
        <v>8</v>
      </c>
      <c r="M31" s="41"/>
      <c r="N31" s="41"/>
      <c r="Q31" s="209">
        <f>V3</f>
        <v>2024</v>
      </c>
      <c r="R31" s="206">
        <f>V3</f>
        <v>2024</v>
      </c>
      <c r="S31" s="206">
        <f>R31</f>
        <v>2024</v>
      </c>
      <c r="T31" s="206">
        <f>S31</f>
        <v>2024</v>
      </c>
      <c r="U31" s="206">
        <f>T31</f>
        <v>2024</v>
      </c>
    </row>
    <row r="32" spans="1:31">
      <c r="B32" s="1">
        <f>IF(B31&gt;28,28,B31)</f>
        <v>4</v>
      </c>
      <c r="D32" s="2" t="s">
        <v>123</v>
      </c>
      <c r="E32" s="1" t="s">
        <v>25</v>
      </c>
      <c r="J32" s="40">
        <v>2</v>
      </c>
      <c r="K32" s="218">
        <v>11</v>
      </c>
      <c r="L32" s="38">
        <f t="shared" si="2"/>
        <v>19</v>
      </c>
      <c r="M32" s="41"/>
      <c r="N32" s="41"/>
      <c r="Q32" s="209">
        <f>Q31-1979</f>
        <v>45</v>
      </c>
      <c r="R32" s="206">
        <f>R31-1320</f>
        <v>704</v>
      </c>
      <c r="S32" s="206">
        <f>S31-1899</f>
        <v>125</v>
      </c>
      <c r="T32" s="208">
        <f>T31-9999</f>
        <v>-7975</v>
      </c>
      <c r="U32" s="667">
        <f>2008-U31</f>
        <v>-16</v>
      </c>
      <c r="V32" s="667"/>
    </row>
    <row r="33" spans="1:18">
      <c r="D33" s="1" t="s">
        <v>58</v>
      </c>
      <c r="J33" s="40">
        <v>3</v>
      </c>
      <c r="K33" s="218">
        <v>22</v>
      </c>
      <c r="L33" s="38">
        <f t="shared" si="2"/>
        <v>0</v>
      </c>
      <c r="M33" s="41"/>
      <c r="N33" s="41"/>
      <c r="Q33" s="209">
        <f>IF(Q32&lt;1,1,0)</f>
        <v>0</v>
      </c>
      <c r="R33" s="214">
        <f>IF(AND(R32&gt;0,T31&lt;1),1,0)</f>
        <v>0</v>
      </c>
    </row>
    <row r="34" spans="1:18">
      <c r="J34" s="40">
        <v>4</v>
      </c>
      <c r="K34" s="218">
        <v>3</v>
      </c>
      <c r="L34" s="38">
        <f t="shared" si="2"/>
        <v>11</v>
      </c>
      <c r="M34" s="41"/>
      <c r="N34" s="41"/>
    </row>
    <row r="35" spans="1:18">
      <c r="A35" s="1" t="s">
        <v>3</v>
      </c>
      <c r="B35" s="1">
        <f>MOD((A1+B8+B32+2-B24+B25),7)</f>
        <v>1</v>
      </c>
      <c r="D35" s="1" t="s">
        <v>16</v>
      </c>
      <c r="J35" s="40">
        <v>5</v>
      </c>
      <c r="K35" s="218">
        <v>14</v>
      </c>
      <c r="L35" s="38">
        <f t="shared" si="2"/>
        <v>22</v>
      </c>
      <c r="M35" s="41"/>
      <c r="N35" s="41"/>
    </row>
    <row r="36" spans="1:18">
      <c r="D36" s="1" t="s">
        <v>124</v>
      </c>
      <c r="E36" s="1" t="s">
        <v>131</v>
      </c>
      <c r="J36" s="40">
        <v>6</v>
      </c>
      <c r="K36" s="218">
        <v>25</v>
      </c>
      <c r="L36" s="38">
        <f t="shared" si="2"/>
        <v>3</v>
      </c>
      <c r="M36" s="41"/>
      <c r="N36" s="41"/>
    </row>
    <row r="37" spans="1:18">
      <c r="A37" s="1" t="s">
        <v>4</v>
      </c>
      <c r="B37" s="1">
        <f>B32-B35</f>
        <v>3</v>
      </c>
      <c r="D37" s="1" t="s">
        <v>17</v>
      </c>
      <c r="J37" s="40">
        <v>7</v>
      </c>
      <c r="K37" s="218">
        <v>6</v>
      </c>
      <c r="L37" s="38">
        <f t="shared" si="2"/>
        <v>14</v>
      </c>
      <c r="M37" s="41"/>
      <c r="N37" s="41"/>
    </row>
    <row r="38" spans="1:18">
      <c r="D38" s="1" t="s">
        <v>127</v>
      </c>
      <c r="E38" s="1" t="s">
        <v>125</v>
      </c>
      <c r="J38" s="40">
        <v>8</v>
      </c>
      <c r="K38" s="218">
        <v>17</v>
      </c>
      <c r="L38" s="38">
        <f t="shared" si="2"/>
        <v>25</v>
      </c>
      <c r="M38" s="41"/>
      <c r="N38" s="41"/>
    </row>
    <row r="39" spans="1:18">
      <c r="A39" s="1" t="s">
        <v>19</v>
      </c>
      <c r="B39" s="1">
        <f>INT((B37+6)/40)</f>
        <v>0</v>
      </c>
      <c r="J39" s="40">
        <v>9</v>
      </c>
      <c r="K39" s="218">
        <v>28</v>
      </c>
      <c r="L39" s="38">
        <f t="shared" si="2"/>
        <v>6</v>
      </c>
      <c r="M39" s="41"/>
      <c r="N39" s="41"/>
    </row>
    <row r="40" spans="1:18">
      <c r="J40" s="40">
        <v>10</v>
      </c>
      <c r="K40" s="218">
        <v>9</v>
      </c>
      <c r="L40" s="38">
        <f t="shared" si="2"/>
        <v>17</v>
      </c>
      <c r="M40" s="41"/>
      <c r="N40" s="41"/>
    </row>
    <row r="41" spans="1:18">
      <c r="A41" s="1" t="s">
        <v>29</v>
      </c>
      <c r="B41" s="1">
        <f>IF(MOD((1+B37+27+B39),31)=0,31,MOD((1+B37+27+B39),31))</f>
        <v>31</v>
      </c>
      <c r="D41" s="1" t="s">
        <v>18</v>
      </c>
      <c r="J41" s="40">
        <v>11</v>
      </c>
      <c r="K41" s="218">
        <v>20</v>
      </c>
      <c r="L41" s="38">
        <f t="shared" si="2"/>
        <v>28</v>
      </c>
      <c r="M41" s="41"/>
      <c r="N41" s="41"/>
    </row>
    <row r="42" spans="1:18">
      <c r="J42" s="40">
        <v>12</v>
      </c>
      <c r="K42" s="218">
        <v>1</v>
      </c>
      <c r="L42" s="38">
        <f t="shared" si="2"/>
        <v>9</v>
      </c>
      <c r="M42" s="41"/>
      <c r="N42" s="41"/>
    </row>
    <row r="43" spans="1:18">
      <c r="A43" s="1" t="s">
        <v>21</v>
      </c>
      <c r="B43" s="1">
        <f>INT((B37+26)/30)</f>
        <v>0</v>
      </c>
      <c r="J43" s="40">
        <v>13</v>
      </c>
      <c r="K43" s="218">
        <v>12</v>
      </c>
      <c r="L43" s="38">
        <f t="shared" si="2"/>
        <v>20</v>
      </c>
      <c r="M43" s="41"/>
      <c r="N43" s="41"/>
    </row>
    <row r="44" spans="1:18">
      <c r="A44" s="1" t="s">
        <v>30</v>
      </c>
      <c r="B44" s="1">
        <f>3+B43</f>
        <v>3</v>
      </c>
      <c r="D44" s="1" t="s">
        <v>20</v>
      </c>
      <c r="J44" s="40">
        <v>14</v>
      </c>
      <c r="K44" s="218">
        <v>23</v>
      </c>
      <c r="L44" s="38">
        <f t="shared" si="2"/>
        <v>1</v>
      </c>
      <c r="M44" s="41"/>
      <c r="N44" s="41"/>
    </row>
    <row r="45" spans="1:18">
      <c r="J45" s="40">
        <v>15</v>
      </c>
      <c r="K45" s="218">
        <v>4</v>
      </c>
      <c r="L45" s="38">
        <f t="shared" si="2"/>
        <v>12</v>
      </c>
      <c r="M45" s="41"/>
      <c r="N45" s="41"/>
    </row>
    <row r="46" spans="1:18">
      <c r="C46" s="149"/>
      <c r="E46">
        <v>0</v>
      </c>
      <c r="F46" s="230" t="s">
        <v>319</v>
      </c>
      <c r="J46" s="40">
        <v>16</v>
      </c>
      <c r="K46" s="218">
        <v>15</v>
      </c>
      <c r="L46" s="38">
        <f t="shared" si="2"/>
        <v>23</v>
      </c>
      <c r="M46" s="41"/>
      <c r="N46" s="41"/>
    </row>
    <row r="47" spans="1:18">
      <c r="C47" s="149"/>
      <c r="E47">
        <v>1</v>
      </c>
      <c r="F47" t="s">
        <v>319</v>
      </c>
      <c r="J47" s="40">
        <v>17</v>
      </c>
      <c r="K47" s="218">
        <v>26</v>
      </c>
      <c r="L47" s="38">
        <f t="shared" si="2"/>
        <v>4</v>
      </c>
      <c r="M47" s="41"/>
      <c r="N47" s="41"/>
    </row>
    <row r="48" spans="1:18">
      <c r="C48" s="149"/>
      <c r="E48">
        <v>2</v>
      </c>
      <c r="F48" t="s">
        <v>319</v>
      </c>
      <c r="J48" s="40">
        <v>18</v>
      </c>
      <c r="K48" s="218">
        <v>7</v>
      </c>
      <c r="L48" s="38">
        <f t="shared" si="2"/>
        <v>15</v>
      </c>
      <c r="M48" s="41"/>
      <c r="N48" s="41"/>
    </row>
    <row r="49" spans="3:14">
      <c r="C49" s="87"/>
      <c r="E49">
        <v>3</v>
      </c>
      <c r="F49" t="s">
        <v>319</v>
      </c>
      <c r="J49" s="40">
        <v>19</v>
      </c>
      <c r="K49" s="218">
        <v>18</v>
      </c>
      <c r="L49" s="38">
        <f t="shared" si="2"/>
        <v>26</v>
      </c>
      <c r="M49" s="41"/>
      <c r="N49" s="41"/>
    </row>
    <row r="50" spans="3:14">
      <c r="C50" s="87"/>
      <c r="E50">
        <v>4</v>
      </c>
      <c r="F50" t="s">
        <v>319</v>
      </c>
      <c r="J50" s="40"/>
    </row>
    <row r="51" spans="3:14">
      <c r="E51">
        <v>5</v>
      </c>
      <c r="F51" t="s">
        <v>319</v>
      </c>
      <c r="J51" s="40" t="s">
        <v>318</v>
      </c>
    </row>
    <row r="52" spans="3:14">
      <c r="E52">
        <v>6</v>
      </c>
      <c r="F52" t="s">
        <v>320</v>
      </c>
      <c r="J52" s="40">
        <f>VLOOKUP($J$29,$J31:$L$49,3)</f>
        <v>28</v>
      </c>
    </row>
    <row r="53" spans="3:14">
      <c r="E53">
        <v>7</v>
      </c>
      <c r="F53" s="230" t="s">
        <v>320</v>
      </c>
      <c r="J53" s="232" t="str">
        <f>VLOOKUP(J52,E46:F75,2)</f>
        <v>Cuarto Menguante</v>
      </c>
    </row>
    <row r="54" spans="3:14">
      <c r="E54">
        <v>8</v>
      </c>
      <c r="F54" t="s">
        <v>320</v>
      </c>
      <c r="J54" s="40"/>
    </row>
    <row r="55" spans="3:14">
      <c r="E55">
        <v>9</v>
      </c>
      <c r="F55" t="s">
        <v>320</v>
      </c>
      <c r="J55" s="40">
        <f>VLOOKUP($J$29,$J31:$L$49,2)</f>
        <v>20</v>
      </c>
    </row>
    <row r="56" spans="3:14">
      <c r="E56">
        <v>10</v>
      </c>
      <c r="F56" t="s">
        <v>320</v>
      </c>
    </row>
    <row r="57" spans="3:14">
      <c r="E57">
        <v>11</v>
      </c>
      <c r="F57" t="s">
        <v>320</v>
      </c>
      <c r="I57" t="s">
        <v>323</v>
      </c>
      <c r="J57"/>
      <c r="K57"/>
    </row>
    <row r="58" spans="3:14">
      <c r="E58">
        <v>12</v>
      </c>
      <c r="F58" t="s">
        <v>320</v>
      </c>
      <c r="I58"/>
      <c r="J58"/>
      <c r="K58"/>
    </row>
    <row r="59" spans="3:14">
      <c r="E59">
        <v>13</v>
      </c>
      <c r="F59" t="s">
        <v>320</v>
      </c>
      <c r="I59" s="233">
        <f>A1</f>
        <v>2024</v>
      </c>
      <c r="J59" s="3" t="s">
        <v>204</v>
      </c>
      <c r="K59"/>
      <c r="L59" s="2">
        <f>IF(AND(I59&gt;325,I59&lt;1583),1,IF(I59&lt;326,0,2))</f>
        <v>2</v>
      </c>
      <c r="M59" s="231" t="s">
        <v>324</v>
      </c>
      <c r="N59"/>
    </row>
    <row r="60" spans="3:14">
      <c r="E60">
        <v>14</v>
      </c>
      <c r="F60" s="230" t="s">
        <v>321</v>
      </c>
    </row>
    <row r="61" spans="3:14">
      <c r="E61">
        <v>15</v>
      </c>
      <c r="F61" t="s">
        <v>321</v>
      </c>
    </row>
    <row r="62" spans="3:14">
      <c r="E62">
        <v>16</v>
      </c>
      <c r="F62" t="s">
        <v>321</v>
      </c>
      <c r="I62" s="234">
        <f>MOD(I59,19)</f>
        <v>10</v>
      </c>
    </row>
    <row r="63" spans="3:14">
      <c r="E63">
        <v>17</v>
      </c>
      <c r="F63" t="s">
        <v>321</v>
      </c>
    </row>
    <row r="64" spans="3:14">
      <c r="E64">
        <v>18</v>
      </c>
      <c r="F64" t="s">
        <v>321</v>
      </c>
      <c r="I64" s="2">
        <f>MOD((19*I62+15),30)</f>
        <v>25</v>
      </c>
    </row>
    <row r="65" spans="5:10">
      <c r="E65">
        <v>19</v>
      </c>
      <c r="F65" t="s">
        <v>321</v>
      </c>
    </row>
    <row r="66" spans="5:10">
      <c r="E66">
        <v>20</v>
      </c>
      <c r="F66" t="s">
        <v>321</v>
      </c>
      <c r="I66" s="2">
        <f>INT(I59/4)</f>
        <v>506</v>
      </c>
    </row>
    <row r="67" spans="5:10">
      <c r="E67">
        <v>21</v>
      </c>
      <c r="F67" s="230" t="s">
        <v>322</v>
      </c>
      <c r="I67" s="211">
        <f>MOD((I59+I66+I64),7)</f>
        <v>0</v>
      </c>
      <c r="J67" t="str">
        <f>VLOOKUP(I67,$AC21:$AD28,2,)</f>
        <v>Domingo</v>
      </c>
    </row>
    <row r="68" spans="5:10">
      <c r="E68">
        <v>22</v>
      </c>
      <c r="F68" t="s">
        <v>322</v>
      </c>
    </row>
    <row r="69" spans="5:10">
      <c r="E69">
        <v>23</v>
      </c>
      <c r="F69" t="s">
        <v>322</v>
      </c>
      <c r="J69" s="3" t="s">
        <v>28</v>
      </c>
    </row>
    <row r="70" spans="5:10">
      <c r="E70">
        <v>24</v>
      </c>
      <c r="F70" t="s">
        <v>322</v>
      </c>
    </row>
    <row r="71" spans="5:10">
      <c r="E71">
        <v>25</v>
      </c>
      <c r="F71" t="s">
        <v>322</v>
      </c>
      <c r="J71" s="203">
        <f>INT(I59/100)</f>
        <v>20</v>
      </c>
    </row>
    <row r="72" spans="5:10">
      <c r="E72">
        <v>26</v>
      </c>
      <c r="F72" t="s">
        <v>322</v>
      </c>
      <c r="J72" s="2">
        <f>INT(J71/4)</f>
        <v>5</v>
      </c>
    </row>
    <row r="73" spans="5:10">
      <c r="E73">
        <v>27</v>
      </c>
      <c r="F73" t="s">
        <v>322</v>
      </c>
      <c r="J73" s="2">
        <f>INT((8*J71+13)/25)</f>
        <v>6</v>
      </c>
    </row>
    <row r="74" spans="5:10">
      <c r="E74">
        <v>28</v>
      </c>
      <c r="F74" s="231" t="s">
        <v>322</v>
      </c>
      <c r="J74" s="2">
        <f>MOD((J71-J72-J73+19*I62+15),30)</f>
        <v>4</v>
      </c>
    </row>
    <row r="75" spans="5:10">
      <c r="E75">
        <v>29</v>
      </c>
      <c r="F75" s="230" t="s">
        <v>322</v>
      </c>
      <c r="J75" s="2">
        <f>INT(J74/28)</f>
        <v>0</v>
      </c>
    </row>
    <row r="76" spans="5:10">
      <c r="J76" s="2">
        <f>INT(29/(J74+1))</f>
        <v>5</v>
      </c>
    </row>
    <row r="77" spans="5:10">
      <c r="J77" s="2">
        <f>INT((21-I62)/11)</f>
        <v>1</v>
      </c>
    </row>
    <row r="78" spans="5:10">
      <c r="J78" s="2">
        <f>J74-J75*(1-J75*J76*J77)</f>
        <v>4</v>
      </c>
    </row>
    <row r="79" spans="5:10">
      <c r="J79" s="2">
        <f>IF(J78&gt;28,28,J78)</f>
        <v>4</v>
      </c>
    </row>
    <row r="82" spans="10:11">
      <c r="J82" s="235">
        <f>MOD((I59+I66+J79+2-J71+J72),7)</f>
        <v>1</v>
      </c>
      <c r="K82" t="str">
        <f>VLOOKUP(J82,$AC21:$AD28,2,)</f>
        <v>Lunes</v>
      </c>
    </row>
    <row r="84" spans="10:11">
      <c r="J84" s="231" t="s">
        <v>325</v>
      </c>
    </row>
    <row r="85" spans="10:11">
      <c r="J85" s="231" t="s">
        <v>326</v>
      </c>
    </row>
  </sheetData>
  <sheetProtection password="888B" sheet="1" objects="1" scenarios="1"/>
  <customSheetViews>
    <customSheetView guid="{18C1BFE2-8FEC-454E-854E-6DC32F1C628B}" showRuler="0">
      <pageMargins left="0.75" right="0.75" top="1" bottom="1" header="0" footer="0"/>
      <pageSetup paperSize="9" orientation="portrait" horizontalDpi="4294967293" verticalDpi="0" r:id="rId1"/>
      <headerFooter alignWithMargins="0"/>
    </customSheetView>
  </customSheetViews>
  <mergeCells count="18">
    <mergeCell ref="U32:V32"/>
    <mergeCell ref="T5:V5"/>
    <mergeCell ref="X3:Y3"/>
    <mergeCell ref="Z6:AB6"/>
    <mergeCell ref="Z7:AB7"/>
    <mergeCell ref="Z8:AB8"/>
    <mergeCell ref="Z9:AB9"/>
    <mergeCell ref="AA4:AD4"/>
    <mergeCell ref="AA11:AC11"/>
    <mergeCell ref="AA12:AC12"/>
    <mergeCell ref="AC6:AD6"/>
    <mergeCell ref="AC7:AD7"/>
    <mergeCell ref="AC8:AD8"/>
    <mergeCell ref="N29:O29"/>
    <mergeCell ref="P7:Q7"/>
    <mergeCell ref="V3:W3"/>
    <mergeCell ref="AA13:AC13"/>
    <mergeCell ref="W18:X18"/>
  </mergeCells>
  <phoneticPr fontId="0" type="noConversion"/>
  <pageMargins left="0.75" right="0.75" top="1" bottom="1" header="0" footer="0"/>
  <pageSetup paperSize="9" orientation="portrait" horizontalDpi="4294967293" r:id="rId2"/>
  <headerFooter alignWithMargins="0"/>
  <ignoredErrors>
    <ignoredError sqref="U8 U10:U11 U12 U16" formula="1"/>
    <ignoredError sqref="O13:O2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7"/>
  <dimension ref="A1:I14"/>
  <sheetViews>
    <sheetView showGridLines="0" showRowColHeaders="0" workbookViewId="0">
      <selection activeCell="W3" sqref="W3"/>
    </sheetView>
  </sheetViews>
  <sheetFormatPr baseColWidth="10" defaultColWidth="12" defaultRowHeight="13.2"/>
  <cols>
    <col min="1" max="4" width="12" style="1" customWidth="1"/>
    <col min="5" max="5" width="38.5546875" style="1" customWidth="1"/>
    <col min="6" max="6" width="19.21875" style="2" customWidth="1"/>
    <col min="7" max="8" width="12" style="1"/>
    <col min="9" max="9" width="16.44140625" style="1" customWidth="1"/>
    <col min="10" max="16384" width="12" style="1"/>
  </cols>
  <sheetData>
    <row r="1" spans="1:9" ht="33.75" customHeight="1" thickBot="1">
      <c r="A1" s="91">
        <f>Principal!$C$10</f>
        <v>2024</v>
      </c>
      <c r="B1" s="751" t="s">
        <v>171</v>
      </c>
      <c r="C1" s="751"/>
      <c r="D1" s="751"/>
      <c r="E1" s="751" t="s">
        <v>172</v>
      </c>
      <c r="F1" s="751"/>
    </row>
    <row r="2" spans="1:9" ht="27" customHeight="1">
      <c r="A2" s="2">
        <f>IF(AND(A1&gt;0,A1&lt;1583),1,2)</f>
        <v>2</v>
      </c>
      <c r="B2" s="84"/>
      <c r="C2" s="731" t="s">
        <v>190</v>
      </c>
      <c r="D2" s="731"/>
      <c r="E2" s="92">
        <f>MOD(A1,19)</f>
        <v>10</v>
      </c>
      <c r="H2" s="749" t="s">
        <v>34</v>
      </c>
      <c r="I2" s="750"/>
    </row>
    <row r="3" spans="1:9" ht="28.8" thickBot="1">
      <c r="B3" s="752"/>
      <c r="C3" s="752"/>
      <c r="D3" s="752"/>
      <c r="E3" s="85" t="s">
        <v>191</v>
      </c>
      <c r="F3" s="93">
        <f>INT(A1/100)</f>
        <v>20</v>
      </c>
      <c r="G3" s="1">
        <f>IF(A2=1,E14,H14)</f>
        <v>31</v>
      </c>
      <c r="H3" s="488">
        <f>IF(G3&gt;31,G3-31,G3)</f>
        <v>31</v>
      </c>
      <c r="I3" s="489" t="str">
        <f>IF(G3&gt;31,"ABRIL","MARZO")</f>
        <v>MARZO</v>
      </c>
    </row>
    <row r="4" spans="1:9">
      <c r="B4" s="752"/>
      <c r="C4" s="752"/>
      <c r="D4" s="752"/>
      <c r="E4" s="85" t="s">
        <v>192</v>
      </c>
      <c r="F4" s="93">
        <f>F3-INT(F3/4)</f>
        <v>15</v>
      </c>
    </row>
    <row r="5" spans="1:9">
      <c r="B5" s="752"/>
      <c r="C5" s="752"/>
      <c r="D5" s="752"/>
      <c r="E5" s="85" t="s">
        <v>193</v>
      </c>
      <c r="F5" s="93">
        <f>INT((8*F3+13)/25)</f>
        <v>6</v>
      </c>
    </row>
    <row r="6" spans="1:9" ht="26.4">
      <c r="B6" s="84"/>
      <c r="C6" s="85" t="s">
        <v>194</v>
      </c>
      <c r="D6" s="2">
        <f>MOD((19*E2+15),30)</f>
        <v>25</v>
      </c>
      <c r="E6" s="85" t="s">
        <v>195</v>
      </c>
      <c r="F6" s="93">
        <f>MOD((F4-F5+19*E2+15),30)</f>
        <v>4</v>
      </c>
    </row>
    <row r="7" spans="1:9">
      <c r="B7" s="752"/>
      <c r="C7" s="752"/>
      <c r="D7" s="752"/>
      <c r="E7" s="85" t="s">
        <v>196</v>
      </c>
      <c r="F7" s="93">
        <f>INT(F6/28)</f>
        <v>0</v>
      </c>
    </row>
    <row r="8" spans="1:9">
      <c r="B8" s="752"/>
      <c r="C8" s="752"/>
      <c r="D8" s="752"/>
      <c r="E8" s="85" t="s">
        <v>197</v>
      </c>
      <c r="F8" s="93">
        <f>INT(29/(F6+1))</f>
        <v>5</v>
      </c>
    </row>
    <row r="9" spans="1:9">
      <c r="B9" s="752"/>
      <c r="C9" s="752"/>
      <c r="D9" s="752"/>
      <c r="E9" s="85" t="s">
        <v>198</v>
      </c>
      <c r="F9" s="93">
        <f>INT((21-E2)/11)</f>
        <v>1</v>
      </c>
    </row>
    <row r="10" spans="1:9">
      <c r="B10" s="752"/>
      <c r="C10" s="752"/>
      <c r="D10" s="752"/>
      <c r="E10" s="85" t="s">
        <v>199</v>
      </c>
      <c r="F10" s="93">
        <f>F6-F7*(1-F7*F8*F9)</f>
        <v>4</v>
      </c>
    </row>
    <row r="11" spans="1:9" ht="39.6">
      <c r="B11" s="84"/>
      <c r="C11" s="85" t="s">
        <v>200</v>
      </c>
      <c r="D11" s="2">
        <f>MOD((A1+INT(A1/4)+D6),7)</f>
        <v>0</v>
      </c>
      <c r="E11" s="85" t="s">
        <v>201</v>
      </c>
      <c r="F11" s="93">
        <f>MOD((A1+INT(A1/4)+F10+2-F4),7)</f>
        <v>1</v>
      </c>
    </row>
    <row r="14" spans="1:9">
      <c r="C14" s="3" t="s">
        <v>202</v>
      </c>
      <c r="E14" s="2">
        <f>28+D6-D11</f>
        <v>53</v>
      </c>
      <c r="F14" s="94" t="s">
        <v>202</v>
      </c>
      <c r="H14" s="1">
        <f>28+F10-F11</f>
        <v>31</v>
      </c>
    </row>
  </sheetData>
  <sheetProtection password="888B" sheet="1" objects="1" scenarios="1"/>
  <mergeCells count="11">
    <mergeCell ref="B9:D9"/>
    <mergeCell ref="B10:D10"/>
    <mergeCell ref="B4:D4"/>
    <mergeCell ref="B5:D5"/>
    <mergeCell ref="B7:D7"/>
    <mergeCell ref="B8:D8"/>
    <mergeCell ref="H2:I2"/>
    <mergeCell ref="C2:D2"/>
    <mergeCell ref="B1:D1"/>
    <mergeCell ref="E1:F1"/>
    <mergeCell ref="B3:D3"/>
  </mergeCells>
  <phoneticPr fontId="0" type="noConversion"/>
  <pageMargins left="0.75" right="0.75" top="1" bottom="1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9"/>
  <dimension ref="A1:O30"/>
  <sheetViews>
    <sheetView showGridLines="0" showRowColHeaders="0" workbookViewId="0">
      <selection activeCell="W3" sqref="W3"/>
    </sheetView>
  </sheetViews>
  <sheetFormatPr baseColWidth="10" defaultColWidth="11.88671875" defaultRowHeight="13.2"/>
  <cols>
    <col min="1" max="1" width="11.88671875" style="1" customWidth="1"/>
    <col min="2" max="2" width="26" style="1" customWidth="1"/>
    <col min="3" max="7" width="11.88671875" style="1"/>
    <col min="8" max="8" width="21.77734375" style="1" customWidth="1"/>
    <col min="9" max="16384" width="11.88671875" style="1"/>
  </cols>
  <sheetData>
    <row r="1" spans="1:15" ht="24" customHeight="1">
      <c r="A1" s="77">
        <f>Principal!$C$10</f>
        <v>2024</v>
      </c>
      <c r="B1" s="1" t="s">
        <v>138</v>
      </c>
      <c r="J1" s="534"/>
      <c r="K1" s="534" t="s">
        <v>314</v>
      </c>
      <c r="L1" s="534" t="s">
        <v>314</v>
      </c>
      <c r="M1" s="38"/>
      <c r="N1" s="38"/>
      <c r="O1" s="38"/>
    </row>
    <row r="2" spans="1:15" ht="13.8">
      <c r="B2" s="78" t="s">
        <v>139</v>
      </c>
      <c r="C2" s="3">
        <f>MOD(A1,19)+1</f>
        <v>11</v>
      </c>
      <c r="D2" s="37" t="s">
        <v>170</v>
      </c>
      <c r="F2" s="3" t="s">
        <v>275</v>
      </c>
      <c r="G2" s="3">
        <f>IF(C2&gt;3,C2-3,C2-3+19)</f>
        <v>8</v>
      </c>
      <c r="J2" s="207">
        <f>$C$2</f>
        <v>11</v>
      </c>
      <c r="K2" s="598">
        <v>42451</v>
      </c>
      <c r="L2" s="433">
        <v>42370</v>
      </c>
      <c r="M2" s="38" t="s">
        <v>429</v>
      </c>
      <c r="N2" s="58" t="s">
        <v>430</v>
      </c>
      <c r="O2" s="38"/>
    </row>
    <row r="3" spans="1:15">
      <c r="A3" s="79"/>
      <c r="B3" s="78" t="s">
        <v>140</v>
      </c>
      <c r="C3" s="80">
        <f>INT(A1/100)+1</f>
        <v>21</v>
      </c>
      <c r="J3" s="534" t="s">
        <v>427</v>
      </c>
      <c r="K3" s="385" t="s">
        <v>316</v>
      </c>
      <c r="L3" s="385" t="s">
        <v>317</v>
      </c>
      <c r="M3" s="38"/>
      <c r="N3" s="38"/>
      <c r="O3" s="38"/>
    </row>
    <row r="4" spans="1:15">
      <c r="A4" s="79"/>
      <c r="B4" s="78" t="s">
        <v>141</v>
      </c>
      <c r="C4" s="80">
        <f>INT((3*C3)/4)-12</f>
        <v>3</v>
      </c>
      <c r="J4" s="534">
        <v>1</v>
      </c>
      <c r="K4" s="534">
        <v>0</v>
      </c>
      <c r="L4" s="534">
        <f>IF(K4+8&lt;30,K4+8,K4+8-30)</f>
        <v>8</v>
      </c>
      <c r="M4" s="38">
        <v>17</v>
      </c>
      <c r="N4" s="38">
        <v>5</v>
      </c>
      <c r="O4" s="38"/>
    </row>
    <row r="5" spans="1:15">
      <c r="A5" s="79"/>
      <c r="B5" s="78" t="s">
        <v>142</v>
      </c>
      <c r="C5" s="80">
        <f>INT((8*C3+5)/25)-5</f>
        <v>1</v>
      </c>
      <c r="J5" s="534">
        <v>2</v>
      </c>
      <c r="K5" s="534">
        <v>11</v>
      </c>
      <c r="L5" s="534">
        <f t="shared" ref="L5:L22" si="0">IF(K5+8&lt;30,K5+8,K5+8-30)</f>
        <v>19</v>
      </c>
      <c r="M5" s="38">
        <v>18</v>
      </c>
      <c r="N5" s="38">
        <v>1</v>
      </c>
      <c r="O5" s="38"/>
    </row>
    <row r="6" spans="1:15">
      <c r="A6" s="79"/>
      <c r="B6" s="78" t="s">
        <v>143</v>
      </c>
      <c r="C6" s="80">
        <f>INT((A1*5)/4)-10-C4</f>
        <v>2517</v>
      </c>
      <c r="J6" s="534">
        <v>3</v>
      </c>
      <c r="K6" s="534">
        <v>22</v>
      </c>
      <c r="L6" s="534">
        <f t="shared" si="0"/>
        <v>0</v>
      </c>
      <c r="M6" s="38">
        <v>19</v>
      </c>
      <c r="N6" s="38">
        <v>6</v>
      </c>
      <c r="O6" s="38"/>
    </row>
    <row r="7" spans="1:15" ht="26.4">
      <c r="A7" s="752"/>
      <c r="B7" s="78" t="s">
        <v>144</v>
      </c>
      <c r="C7" s="753">
        <f>MOD((MOD((11*C2+20+C5-C4),30)+30),30)</f>
        <v>19</v>
      </c>
      <c r="J7" s="534">
        <v>4</v>
      </c>
      <c r="K7" s="534">
        <v>3</v>
      </c>
      <c r="L7" s="534">
        <f t="shared" si="0"/>
        <v>11</v>
      </c>
      <c r="M7" s="38">
        <f t="shared" ref="M7:M22" si="1">J7-3</f>
        <v>1</v>
      </c>
      <c r="N7" s="38">
        <v>2</v>
      </c>
      <c r="O7" s="38"/>
    </row>
    <row r="8" spans="1:15" ht="18">
      <c r="A8" s="752"/>
      <c r="B8" s="81" t="s">
        <v>145</v>
      </c>
      <c r="C8" s="753"/>
      <c r="D8" s="37" t="s">
        <v>169</v>
      </c>
      <c r="J8" s="534">
        <v>5</v>
      </c>
      <c r="K8" s="534">
        <v>14</v>
      </c>
      <c r="L8" s="534">
        <f t="shared" si="0"/>
        <v>22</v>
      </c>
      <c r="M8" s="38">
        <f t="shared" si="1"/>
        <v>2</v>
      </c>
      <c r="N8" s="38">
        <v>5</v>
      </c>
      <c r="O8" s="38"/>
    </row>
    <row r="9" spans="1:15" ht="26.4">
      <c r="A9" s="79"/>
      <c r="B9" s="78" t="s">
        <v>146</v>
      </c>
      <c r="C9" s="80">
        <f>IF(OR(C7=24,AND(C7=25,C2&gt;11)),C7+1,C7)</f>
        <v>19</v>
      </c>
      <c r="J9" s="534">
        <v>6</v>
      </c>
      <c r="K9" s="534">
        <v>25</v>
      </c>
      <c r="L9" s="534">
        <f t="shared" si="0"/>
        <v>3</v>
      </c>
      <c r="M9" s="38">
        <f t="shared" si="1"/>
        <v>3</v>
      </c>
      <c r="N9" s="38">
        <v>3</v>
      </c>
      <c r="O9" s="38"/>
    </row>
    <row r="10" spans="1:15">
      <c r="A10" s="79"/>
      <c r="B10" s="78" t="s">
        <v>147</v>
      </c>
      <c r="C10" s="80">
        <f>44-C9</f>
        <v>25</v>
      </c>
      <c r="J10" s="534">
        <v>7</v>
      </c>
      <c r="K10" s="534">
        <v>6</v>
      </c>
      <c r="L10" s="534">
        <f t="shared" si="0"/>
        <v>14</v>
      </c>
      <c r="M10" s="38">
        <f t="shared" si="1"/>
        <v>4</v>
      </c>
      <c r="N10" s="38">
        <v>6</v>
      </c>
      <c r="O10" s="38"/>
    </row>
    <row r="11" spans="1:15">
      <c r="A11" s="79"/>
      <c r="B11" s="78" t="s">
        <v>148</v>
      </c>
      <c r="C11" s="80">
        <f>IF(C10&lt;21,C10+30,C10)</f>
        <v>25</v>
      </c>
      <c r="J11" s="534">
        <v>8</v>
      </c>
      <c r="K11" s="534">
        <v>17</v>
      </c>
      <c r="L11" s="534">
        <f t="shared" si="0"/>
        <v>25</v>
      </c>
      <c r="M11" s="38">
        <f t="shared" si="1"/>
        <v>5</v>
      </c>
      <c r="N11" s="38">
        <v>4</v>
      </c>
      <c r="O11" s="38"/>
    </row>
    <row r="12" spans="1:15" ht="26.4">
      <c r="A12" s="79"/>
      <c r="B12" s="82" t="s">
        <v>149</v>
      </c>
      <c r="C12" s="80">
        <f>C11+7-MOD((C6+C11),7)</f>
        <v>31</v>
      </c>
      <c r="J12" s="534">
        <v>9</v>
      </c>
      <c r="K12" s="534">
        <v>28</v>
      </c>
      <c r="L12" s="534">
        <f t="shared" si="0"/>
        <v>6</v>
      </c>
      <c r="M12" s="38">
        <f t="shared" si="1"/>
        <v>6</v>
      </c>
      <c r="N12" s="38">
        <v>7</v>
      </c>
      <c r="O12" s="38"/>
    </row>
    <row r="13" spans="1:15" ht="15.6">
      <c r="C13" s="83">
        <f>IF(C12&gt;31,C12-31,C12)</f>
        <v>31</v>
      </c>
      <c r="D13" s="83" t="str">
        <f>IF(C12&gt;31,"ABRIL","MARZO")</f>
        <v>MARZO</v>
      </c>
      <c r="J13" s="534">
        <v>10</v>
      </c>
      <c r="K13" s="534">
        <v>9</v>
      </c>
      <c r="L13" s="534">
        <f t="shared" si="0"/>
        <v>17</v>
      </c>
      <c r="M13" s="38">
        <f t="shared" si="1"/>
        <v>7</v>
      </c>
      <c r="N13" s="38">
        <v>3</v>
      </c>
      <c r="O13" s="38"/>
    </row>
    <row r="14" spans="1:15">
      <c r="J14" s="534">
        <v>11</v>
      </c>
      <c r="K14" s="534">
        <v>20</v>
      </c>
      <c r="L14" s="534">
        <f t="shared" si="0"/>
        <v>28</v>
      </c>
      <c r="M14" s="38">
        <f t="shared" si="1"/>
        <v>8</v>
      </c>
      <c r="N14" s="38">
        <v>1</v>
      </c>
      <c r="O14" s="38"/>
    </row>
    <row r="15" spans="1:15">
      <c r="J15" s="534">
        <v>12</v>
      </c>
      <c r="K15" s="534">
        <v>1</v>
      </c>
      <c r="L15" s="534">
        <f t="shared" si="0"/>
        <v>9</v>
      </c>
      <c r="M15" s="38">
        <f t="shared" si="1"/>
        <v>9</v>
      </c>
      <c r="N15" s="38">
        <v>4</v>
      </c>
      <c r="O15" s="38"/>
    </row>
    <row r="16" spans="1:15">
      <c r="A16" s="751" t="s">
        <v>171</v>
      </c>
      <c r="B16" s="751"/>
      <c r="C16" s="751"/>
      <c r="J16" s="534">
        <v>13</v>
      </c>
      <c r="K16" s="534">
        <v>12</v>
      </c>
      <c r="L16" s="534">
        <f t="shared" si="0"/>
        <v>20</v>
      </c>
      <c r="M16" s="38">
        <f t="shared" si="1"/>
        <v>10</v>
      </c>
      <c r="N16" s="38">
        <v>7</v>
      </c>
      <c r="O16" s="38"/>
    </row>
    <row r="17" spans="1:15">
      <c r="A17" s="84"/>
      <c r="B17" s="731" t="s">
        <v>190</v>
      </c>
      <c r="C17" s="731"/>
      <c r="D17" s="1">
        <f>MOD(A1,19)</f>
        <v>10</v>
      </c>
      <c r="J17" s="534">
        <v>14</v>
      </c>
      <c r="K17" s="534">
        <v>23</v>
      </c>
      <c r="L17" s="534">
        <f t="shared" si="0"/>
        <v>1</v>
      </c>
      <c r="M17" s="38">
        <f t="shared" si="1"/>
        <v>11</v>
      </c>
      <c r="N17" s="38">
        <v>5</v>
      </c>
      <c r="O17" s="38"/>
    </row>
    <row r="18" spans="1:15">
      <c r="A18" s="752"/>
      <c r="B18" s="752"/>
      <c r="C18" s="752"/>
      <c r="J18" s="534">
        <v>15</v>
      </c>
      <c r="K18" s="534">
        <v>4</v>
      </c>
      <c r="L18" s="534">
        <f t="shared" si="0"/>
        <v>12</v>
      </c>
      <c r="M18" s="38">
        <f t="shared" si="1"/>
        <v>12</v>
      </c>
      <c r="N18" s="38">
        <v>1</v>
      </c>
      <c r="O18" s="38"/>
    </row>
    <row r="19" spans="1:15">
      <c r="A19" s="752"/>
      <c r="B19" s="752"/>
      <c r="C19" s="752"/>
      <c r="J19" s="534">
        <v>16</v>
      </c>
      <c r="K19" s="534">
        <v>15</v>
      </c>
      <c r="L19" s="534">
        <f t="shared" si="0"/>
        <v>23</v>
      </c>
      <c r="M19" s="38">
        <f t="shared" si="1"/>
        <v>13</v>
      </c>
      <c r="N19" s="38">
        <v>4</v>
      </c>
      <c r="O19" s="38"/>
    </row>
    <row r="20" spans="1:15">
      <c r="A20" s="752"/>
      <c r="B20" s="752"/>
      <c r="C20" s="752"/>
      <c r="J20" s="534">
        <v>17</v>
      </c>
      <c r="K20" s="534">
        <v>26</v>
      </c>
      <c r="L20" s="534">
        <f t="shared" si="0"/>
        <v>4</v>
      </c>
      <c r="M20" s="38">
        <f t="shared" si="1"/>
        <v>14</v>
      </c>
      <c r="N20" s="38">
        <v>2</v>
      </c>
      <c r="O20" s="38"/>
    </row>
    <row r="21" spans="1:15">
      <c r="A21" s="84"/>
      <c r="B21" s="85" t="s">
        <v>194</v>
      </c>
      <c r="C21" s="2">
        <f>MOD((19*D17+15),30)</f>
        <v>25</v>
      </c>
      <c r="D21" s="87" t="s">
        <v>426</v>
      </c>
      <c r="J21" s="534">
        <v>18</v>
      </c>
      <c r="K21" s="534">
        <v>7</v>
      </c>
      <c r="L21" s="534">
        <f t="shared" si="0"/>
        <v>15</v>
      </c>
      <c r="M21" s="38">
        <f t="shared" si="1"/>
        <v>15</v>
      </c>
      <c r="N21" s="38">
        <v>5</v>
      </c>
      <c r="O21" s="38"/>
    </row>
    <row r="22" spans="1:15" ht="13.8" thickBot="1">
      <c r="A22" s="752"/>
      <c r="B22" s="752"/>
      <c r="C22" s="752"/>
      <c r="J22" s="534">
        <v>19</v>
      </c>
      <c r="K22" s="534">
        <v>18</v>
      </c>
      <c r="L22" s="534">
        <f t="shared" si="0"/>
        <v>26</v>
      </c>
      <c r="M22" s="38">
        <f t="shared" si="1"/>
        <v>16</v>
      </c>
      <c r="N22" s="38">
        <v>3</v>
      </c>
      <c r="O22" s="38"/>
    </row>
    <row r="23" spans="1:15" ht="28.8" thickBot="1">
      <c r="A23" s="752"/>
      <c r="B23" s="752"/>
      <c r="C23" s="752"/>
      <c r="E23" s="490" t="s">
        <v>34</v>
      </c>
      <c r="F23" s="491"/>
      <c r="G23" s="492">
        <f>IF(A1&lt;1583,C30,C13)</f>
        <v>31</v>
      </c>
      <c r="H23" s="493" t="str">
        <f>IF(A1&lt;1582,D30,D13)</f>
        <v>MARZO</v>
      </c>
      <c r="J23" s="534"/>
      <c r="K23" s="534"/>
      <c r="L23" s="534"/>
      <c r="M23" s="38"/>
      <c r="N23" s="38"/>
      <c r="O23" s="38"/>
    </row>
    <row r="24" spans="1:15">
      <c r="A24" s="752"/>
      <c r="B24" s="752"/>
      <c r="C24" s="752"/>
      <c r="J24" s="534" t="s">
        <v>318</v>
      </c>
      <c r="K24" s="534"/>
      <c r="L24" s="534"/>
      <c r="M24" s="38"/>
      <c r="N24" s="38">
        <f>VLOOKUP(J2,J4:N22,5,FALSE)</f>
        <v>1</v>
      </c>
      <c r="O24" s="38"/>
    </row>
    <row r="25" spans="1:15">
      <c r="A25" s="752"/>
      <c r="B25" s="752"/>
      <c r="C25" s="752"/>
      <c r="J25" s="534">
        <f>VLOOKUP($J$2,$J$4:$L$22,3)</f>
        <v>28</v>
      </c>
      <c r="K25" s="534"/>
      <c r="L25" s="534" t="s">
        <v>428</v>
      </c>
      <c r="M25" s="38"/>
      <c r="N25" s="38" t="s">
        <v>430</v>
      </c>
      <c r="O25" s="38"/>
    </row>
    <row r="26" spans="1:15" ht="26.4">
      <c r="A26" s="84"/>
      <c r="B26" s="85" t="s">
        <v>200</v>
      </c>
      <c r="C26" s="2">
        <f>MOD((A1+INT(A1/4)+C21),7)</f>
        <v>0</v>
      </c>
      <c r="J26" s="534"/>
      <c r="K26" s="534"/>
      <c r="L26" s="534">
        <f>$AS$12</f>
        <v>0</v>
      </c>
      <c r="M26" s="38"/>
      <c r="N26" s="38"/>
      <c r="O26" s="38"/>
    </row>
    <row r="27" spans="1:15">
      <c r="J27" s="534" t="s">
        <v>431</v>
      </c>
      <c r="K27" s="534"/>
      <c r="L27" s="534"/>
      <c r="M27" s="38"/>
      <c r="N27" s="38"/>
      <c r="O27" s="38"/>
    </row>
    <row r="28" spans="1:15">
      <c r="J28" s="534">
        <f>VLOOKUP($J$2,$J$4:$L$22,2)</f>
        <v>20</v>
      </c>
      <c r="K28" s="534"/>
      <c r="L28" s="534"/>
      <c r="M28" s="38"/>
      <c r="N28" s="38"/>
      <c r="O28" s="38"/>
    </row>
    <row r="29" spans="1:15" ht="15.6">
      <c r="B29" s="3" t="s">
        <v>202</v>
      </c>
      <c r="C29" s="86">
        <f>28+C21-C26</f>
        <v>53</v>
      </c>
      <c r="D29" s="83" t="str">
        <f>IF(C28&gt;31,"ABRIL","MARZO")</f>
        <v>MARZO</v>
      </c>
    </row>
    <row r="30" spans="1:15" ht="15.6">
      <c r="C30" s="86">
        <f>IF(C29&gt;31,C29-31,C29)</f>
        <v>22</v>
      </c>
      <c r="D30" s="83" t="str">
        <f>IF(C29&gt;31,"ABRIL","MARZO")</f>
        <v>ABRIL</v>
      </c>
    </row>
  </sheetData>
  <sheetProtection password="888B" sheet="1" objects="1" scenarios="1"/>
  <mergeCells count="11">
    <mergeCell ref="A7:A8"/>
    <mergeCell ref="C7:C8"/>
    <mergeCell ref="A16:C16"/>
    <mergeCell ref="B17:C17"/>
    <mergeCell ref="A23:C23"/>
    <mergeCell ref="A24:C24"/>
    <mergeCell ref="A25:C25"/>
    <mergeCell ref="A18:C18"/>
    <mergeCell ref="A19:C19"/>
    <mergeCell ref="A20:C20"/>
    <mergeCell ref="A22:C22"/>
  </mergeCells>
  <phoneticPr fontId="0" type="noConversion"/>
  <pageMargins left="0.75" right="0.75" top="1" bottom="1" header="0" footer="0"/>
  <pageSetup paperSize="9" orientation="portrait" horizontalDpi="4294967293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5"/>
  <dimension ref="A1:L34"/>
  <sheetViews>
    <sheetView showGridLines="0" showRowColHeaders="0" workbookViewId="0">
      <selection activeCell="W3" sqref="W3"/>
    </sheetView>
  </sheetViews>
  <sheetFormatPr baseColWidth="10" defaultColWidth="12.33203125" defaultRowHeight="13.2"/>
  <cols>
    <col min="1" max="16384" width="12.33203125" style="1"/>
  </cols>
  <sheetData>
    <row r="1" spans="1:12" ht="18" thickBot="1">
      <c r="A1" s="33">
        <f>IF(Principal!$C$10&gt;0,Principal!$C$10,"ERROR")</f>
        <v>2024</v>
      </c>
      <c r="B1" s="3" t="s">
        <v>26</v>
      </c>
      <c r="D1" s="1">
        <f>IF(AND(A1&gt;0,A1&lt;1583),1,2)</f>
        <v>2</v>
      </c>
    </row>
    <row r="4" spans="1:12">
      <c r="C4" s="3" t="s">
        <v>135</v>
      </c>
    </row>
    <row r="5" spans="1:12">
      <c r="E5" s="3" t="s">
        <v>134</v>
      </c>
    </row>
    <row r="6" spans="1:12">
      <c r="A6" s="1" t="s">
        <v>0</v>
      </c>
      <c r="B6" s="1">
        <f>MOD($A$1,19)</f>
        <v>10</v>
      </c>
      <c r="C6" s="1" t="s">
        <v>86</v>
      </c>
    </row>
    <row r="7" spans="1:12">
      <c r="A7" s="1" t="s">
        <v>5</v>
      </c>
      <c r="B7" s="1">
        <f>INT($A$1/100)</f>
        <v>20</v>
      </c>
      <c r="C7" s="1" t="s">
        <v>87</v>
      </c>
      <c r="E7" s="1" t="s">
        <v>88</v>
      </c>
    </row>
    <row r="8" spans="1:12">
      <c r="B8" s="1">
        <f>INT(B7/4)</f>
        <v>5</v>
      </c>
      <c r="C8" s="1" t="s">
        <v>89</v>
      </c>
    </row>
    <row r="9" spans="1:12" ht="13.8" thickBot="1">
      <c r="B9" s="1">
        <f>INT((8*B7+13)/25)</f>
        <v>6</v>
      </c>
      <c r="C9" s="1" t="s">
        <v>90</v>
      </c>
    </row>
    <row r="10" spans="1:12" ht="21.6" thickBot="1">
      <c r="A10" s="1" t="s">
        <v>8</v>
      </c>
      <c r="B10" s="1">
        <f>MOD((B7-B8-B9+19*B6+15),30)</f>
        <v>4</v>
      </c>
      <c r="C10" s="1" t="s">
        <v>91</v>
      </c>
      <c r="H10" s="263" t="str">
        <f>IF(D1&lt;&gt;0,"DOMINGO PASCUA","ERROR EN L'ANY")</f>
        <v>DOMINGO PASCUA</v>
      </c>
      <c r="I10" s="464"/>
      <c r="J10" s="465">
        <f>H11</f>
        <v>31</v>
      </c>
      <c r="K10" s="466" t="str">
        <f>IF(H12=3,"MARZO","ABRIL")</f>
        <v>MARZO</v>
      </c>
      <c r="L10" s="99"/>
    </row>
    <row r="11" spans="1:12" ht="16.2" thickBot="1">
      <c r="B11" s="1">
        <f>INT(B10/28)</f>
        <v>0</v>
      </c>
      <c r="C11" s="1" t="s">
        <v>92</v>
      </c>
      <c r="H11" s="1">
        <f>IF($D$1=1,B33,B19)</f>
        <v>31</v>
      </c>
      <c r="J11" s="467" t="str">
        <f>IF(D1=1," CALENDARIO JULIANO",IF(D1=2,"CALENDARIO GREGORIANO","ERROR"))</f>
        <v>CALENDARIO GREGORIANO</v>
      </c>
      <c r="K11" s="100"/>
      <c r="L11" s="101"/>
    </row>
    <row r="12" spans="1:12">
      <c r="B12" s="1">
        <f>INT(29/(B10+1))</f>
        <v>5</v>
      </c>
      <c r="C12" s="1" t="s">
        <v>93</v>
      </c>
      <c r="H12" s="1">
        <f>IF($D$1=1,B34,B20)</f>
        <v>3</v>
      </c>
    </row>
    <row r="13" spans="1:12">
      <c r="B13" s="1">
        <f>INT((21-B6)/11)</f>
        <v>1</v>
      </c>
      <c r="C13" s="1" t="s">
        <v>94</v>
      </c>
    </row>
    <row r="14" spans="1:12">
      <c r="A14" s="1" t="s">
        <v>1</v>
      </c>
      <c r="B14" s="1">
        <f>B10-B11*(1-B11*B12*B13)</f>
        <v>4</v>
      </c>
      <c r="C14" s="1" t="s">
        <v>58</v>
      </c>
    </row>
    <row r="15" spans="1:12">
      <c r="B15" s="1">
        <f>INT(A1/4)</f>
        <v>506</v>
      </c>
      <c r="C15" s="1" t="s">
        <v>95</v>
      </c>
    </row>
    <row r="16" spans="1:12">
      <c r="A16" s="1" t="s">
        <v>3</v>
      </c>
      <c r="B16" s="1">
        <f>MOD((A1+B15+B14+2-B7+B8),7)</f>
        <v>1</v>
      </c>
      <c r="C16" s="1" t="s">
        <v>96</v>
      </c>
    </row>
    <row r="17" spans="1:8">
      <c r="A17" s="1" t="s">
        <v>4</v>
      </c>
      <c r="B17" s="1">
        <f>B14-B16+28</f>
        <v>31</v>
      </c>
      <c r="C17" s="1" t="s">
        <v>97</v>
      </c>
    </row>
    <row r="19" spans="1:8">
      <c r="A19" s="1" t="s">
        <v>98</v>
      </c>
      <c r="B19" s="1">
        <f>IF(B17&gt;31,B17-31,B17)</f>
        <v>31</v>
      </c>
      <c r="C19" s="1" t="s">
        <v>99</v>
      </c>
      <c r="D19" s="1" t="s">
        <v>100</v>
      </c>
    </row>
    <row r="20" spans="1:8">
      <c r="A20" s="1" t="s">
        <v>23</v>
      </c>
      <c r="B20" s="1">
        <f>IF(B17&gt;31,4,3)</f>
        <v>3</v>
      </c>
      <c r="C20" s="1" t="s">
        <v>99</v>
      </c>
      <c r="D20" s="1" t="s">
        <v>101</v>
      </c>
      <c r="H20" s="1" t="s">
        <v>120</v>
      </c>
    </row>
    <row r="21" spans="1:8">
      <c r="H21" s="1" t="s">
        <v>121</v>
      </c>
    </row>
    <row r="22" spans="1:8">
      <c r="H22" s="1" t="s">
        <v>122</v>
      </c>
    </row>
    <row r="26" spans="1:8">
      <c r="C26" s="3" t="s">
        <v>203</v>
      </c>
    </row>
    <row r="27" spans="1:8">
      <c r="A27" s="1" t="s">
        <v>0</v>
      </c>
      <c r="B27" s="1">
        <f>MOD(A1,19)</f>
        <v>10</v>
      </c>
      <c r="C27" s="1" t="s">
        <v>86</v>
      </c>
    </row>
    <row r="28" spans="1:8">
      <c r="A28" s="1" t="s">
        <v>1</v>
      </c>
      <c r="B28" s="1">
        <f>MOD((19*B27+15),30)</f>
        <v>25</v>
      </c>
      <c r="C28" s="1" t="s">
        <v>102</v>
      </c>
    </row>
    <row r="29" spans="1:8">
      <c r="B29" s="1">
        <f>B15</f>
        <v>506</v>
      </c>
      <c r="C29" s="1" t="s">
        <v>95</v>
      </c>
    </row>
    <row r="31" spans="1:8">
      <c r="A31" s="1" t="s">
        <v>3</v>
      </c>
      <c r="B31" s="1">
        <f>MOD((A1+B29+B28),7)</f>
        <v>0</v>
      </c>
      <c r="C31" s="1" t="s">
        <v>103</v>
      </c>
    </row>
    <row r="32" spans="1:8">
      <c r="A32" s="1" t="s">
        <v>4</v>
      </c>
      <c r="B32" s="1">
        <f>B28-B31+28</f>
        <v>53</v>
      </c>
      <c r="C32" s="1" t="s">
        <v>97</v>
      </c>
    </row>
    <row r="33" spans="1:4">
      <c r="A33" s="1" t="s">
        <v>98</v>
      </c>
      <c r="B33" s="1">
        <f>IF(B32&gt;31,B32-31,B32)</f>
        <v>22</v>
      </c>
      <c r="C33" s="1" t="s">
        <v>99</v>
      </c>
      <c r="D33" s="1" t="s">
        <v>104</v>
      </c>
    </row>
    <row r="34" spans="1:4">
      <c r="A34" s="1" t="s">
        <v>23</v>
      </c>
      <c r="B34" s="1">
        <f>IF(B32&gt;31,4,3)</f>
        <v>4</v>
      </c>
      <c r="C34" s="1" t="s">
        <v>99</v>
      </c>
      <c r="D34" s="1" t="s">
        <v>101</v>
      </c>
    </row>
  </sheetData>
  <sheetProtection password="888B" sheet="1" objects="1" scenarios="1"/>
  <customSheetViews>
    <customSheetView guid="{18C1BFE2-8FEC-454E-854E-6DC32F1C628B}" showRuler="0">
      <pageMargins left="0.75" right="0.75" top="1" bottom="1" header="0" footer="0"/>
      <headerFooter alignWithMargins="0"/>
    </customSheetView>
  </customSheetViews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Principal</vt:lpstr>
      <vt:lpstr>calendario</vt:lpstr>
      <vt:lpstr>luna</vt:lpstr>
      <vt:lpstr>Butcher</vt:lpstr>
      <vt:lpstr>GAUSS</vt:lpstr>
      <vt:lpstr>formulas</vt:lpstr>
      <vt:lpstr>JULIAN</vt:lpstr>
      <vt:lpstr>LIVIUS</vt:lpstr>
      <vt:lpstr>Hoja2</vt:lpstr>
      <vt:lpstr>Hoja3</vt:lpstr>
      <vt:lpstr>Hoja4</vt:lpstr>
      <vt:lpstr>Hoja5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CARBO MESEGUER</dc:creator>
  <cp:lastModifiedBy>catimenu@yahoo.es</cp:lastModifiedBy>
  <dcterms:created xsi:type="dcterms:W3CDTF">2004-03-16T21:33:39Z</dcterms:created>
  <dcterms:modified xsi:type="dcterms:W3CDTF">2023-03-30T18:07:11Z</dcterms:modified>
</cp:coreProperties>
</file>